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85" windowWidth="9975" windowHeight="6690"/>
  </bookViews>
  <sheets>
    <sheet name="Main Sheet (t0,N or H,u0-data)" sheetId="1" r:id="rId1"/>
    <sheet name="Deff via Peak Parking" sheetId="2" r:id="rId2"/>
    <sheet name="Deff via experiments at low F" sheetId="3" r:id="rId3"/>
    <sheet name="Dmol via Wilke Chang" sheetId="4" r:id="rId4"/>
    <sheet name="Sheet1" sheetId="5" r:id="rId5"/>
  </sheets>
  <calcPr calcId="145621" iterate="1"/>
</workbook>
</file>

<file path=xl/calcChain.xml><?xml version="1.0" encoding="utf-8"?>
<calcChain xmlns="http://schemas.openxmlformats.org/spreadsheetml/2006/main">
  <c r="AA34" i="1" l="1"/>
  <c r="S29" i="1"/>
  <c r="AM19" i="1" l="1"/>
  <c r="G14" i="2" l="1"/>
  <c r="H17" i="2"/>
  <c r="AM23" i="1" l="1"/>
  <c r="L23" i="1"/>
  <c r="S30" i="1" l="1"/>
  <c r="E26" i="1"/>
  <c r="AA32" i="1" l="1"/>
  <c r="AP40" i="1" l="1"/>
  <c r="AP41" i="1"/>
  <c r="AP42" i="1"/>
  <c r="AP43" i="1"/>
  <c r="D19" i="1"/>
  <c r="E19" i="1"/>
  <c r="D14" i="4" l="1"/>
  <c r="D15" i="4" s="1"/>
  <c r="D5" i="4"/>
  <c r="D16" i="4" l="1"/>
  <c r="D17" i="4" s="1"/>
  <c r="D19" i="4" s="1"/>
  <c r="G16" i="4" l="1"/>
  <c r="F3" i="3" l="1"/>
  <c r="D37" i="1" l="1"/>
  <c r="AP37" i="1" s="1"/>
  <c r="B3" i="3"/>
  <c r="B4" i="3" l="1"/>
  <c r="B5" i="3" s="1"/>
  <c r="C10" i="2" l="1"/>
  <c r="D10" i="2"/>
  <c r="C9" i="2" l="1"/>
  <c r="D9" i="2"/>
  <c r="E20" i="1"/>
  <c r="E21" i="1"/>
  <c r="E22" i="1" s="1"/>
  <c r="E23" i="1" s="1"/>
  <c r="E24" i="1" s="1"/>
  <c r="E25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D20" i="1"/>
  <c r="AP20" i="1" s="1"/>
  <c r="D21" i="1"/>
  <c r="AP21" i="1" s="1"/>
  <c r="D22" i="1"/>
  <c r="AP22" i="1" s="1"/>
  <c r="D23" i="1"/>
  <c r="AP23" i="1" s="1"/>
  <c r="D24" i="1"/>
  <c r="AP24" i="1" s="1"/>
  <c r="D25" i="1"/>
  <c r="AP25" i="1" s="1"/>
  <c r="D26" i="1"/>
  <c r="AP26" i="1" s="1"/>
  <c r="D27" i="1"/>
  <c r="AP27" i="1" s="1"/>
  <c r="D28" i="1"/>
  <c r="AP28" i="1" s="1"/>
  <c r="D29" i="1"/>
  <c r="AP29" i="1" s="1"/>
  <c r="D30" i="1"/>
  <c r="AP30" i="1" s="1"/>
  <c r="D31" i="1"/>
  <c r="AP31" i="1" s="1"/>
  <c r="D32" i="1"/>
  <c r="AP32" i="1" s="1"/>
  <c r="D33" i="1"/>
  <c r="AP33" i="1" s="1"/>
  <c r="D34" i="1"/>
  <c r="AP34" i="1" s="1"/>
  <c r="D35" i="1"/>
  <c r="AP35" i="1" s="1"/>
  <c r="D36" i="1"/>
  <c r="AP36" i="1" s="1"/>
  <c r="F15" i="2" l="1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14" i="2"/>
  <c r="A20" i="2" s="1"/>
  <c r="D4" i="2"/>
  <c r="D8" i="2" s="1"/>
  <c r="E38" i="1"/>
  <c r="E39" i="1" s="1"/>
  <c r="E40" i="1" s="1"/>
  <c r="E41" i="1" s="1"/>
  <c r="E42" i="1" s="1"/>
  <c r="E43" i="1" s="1"/>
  <c r="D38" i="1"/>
  <c r="AP38" i="1" s="1"/>
  <c r="AP19" i="1"/>
  <c r="D39" i="1" l="1"/>
  <c r="F19" i="1"/>
  <c r="A3" i="3"/>
  <c r="C3" i="3" s="1"/>
  <c r="A31" i="2"/>
  <c r="A27" i="2"/>
  <c r="A23" i="2"/>
  <c r="A19" i="2"/>
  <c r="A17" i="2"/>
  <c r="A34" i="2"/>
  <c r="A30" i="2"/>
  <c r="A26" i="2"/>
  <c r="A22" i="2"/>
  <c r="A18" i="2"/>
  <c r="A33" i="2"/>
  <c r="A29" i="2"/>
  <c r="A25" i="2"/>
  <c r="A21" i="2"/>
  <c r="A32" i="2"/>
  <c r="A28" i="2"/>
  <c r="A24" i="2"/>
  <c r="F29" i="1"/>
  <c r="G29" i="1"/>
  <c r="G30" i="1"/>
  <c r="D40" i="1" l="1"/>
  <c r="D41" i="1" s="1"/>
  <c r="D42" i="1" s="1"/>
  <c r="D43" i="1" s="1"/>
  <c r="AP39" i="1"/>
  <c r="A4" i="3"/>
  <c r="H29" i="1"/>
  <c r="F30" i="1"/>
  <c r="S33" i="1" l="1"/>
  <c r="O19" i="1" s="1"/>
  <c r="AM29" i="1"/>
  <c r="L29" i="1" s="1"/>
  <c r="A5" i="3"/>
  <c r="C5" i="3" s="1"/>
  <c r="C4" i="3"/>
  <c r="H30" i="1"/>
  <c r="I29" i="1"/>
  <c r="G31" i="1"/>
  <c r="F31" i="1"/>
  <c r="I30" i="1"/>
  <c r="B7" i="3" l="1"/>
  <c r="S20" i="1" s="1"/>
  <c r="O41" i="1"/>
  <c r="O30" i="1"/>
  <c r="O27" i="1"/>
  <c r="O28" i="1"/>
  <c r="O33" i="1"/>
  <c r="O36" i="1"/>
  <c r="P28" i="1"/>
  <c r="P36" i="1"/>
  <c r="P24" i="1"/>
  <c r="P42" i="1"/>
  <c r="P37" i="1"/>
  <c r="P23" i="1"/>
  <c r="O39" i="1"/>
  <c r="P34" i="1"/>
  <c r="P43" i="1"/>
  <c r="O21" i="1"/>
  <c r="O34" i="1"/>
  <c r="O35" i="1"/>
  <c r="O32" i="1"/>
  <c r="O23" i="1"/>
  <c r="O29" i="1"/>
  <c r="P30" i="1"/>
  <c r="P39" i="1"/>
  <c r="P31" i="1"/>
  <c r="P29" i="1"/>
  <c r="P22" i="1"/>
  <c r="P32" i="1"/>
  <c r="O25" i="1"/>
  <c r="P40" i="1"/>
  <c r="P19" i="1"/>
  <c r="O22" i="1"/>
  <c r="O38" i="1"/>
  <c r="O43" i="1"/>
  <c r="O40" i="1"/>
  <c r="O31" i="1"/>
  <c r="O37" i="1"/>
  <c r="P33" i="1"/>
  <c r="P25" i="1"/>
  <c r="P20" i="1"/>
  <c r="P27" i="1"/>
  <c r="P38" i="1"/>
  <c r="P41" i="1"/>
  <c r="O26" i="1"/>
  <c r="O42" i="1"/>
  <c r="O24" i="1"/>
  <c r="P35" i="1"/>
  <c r="P26" i="1"/>
  <c r="P21" i="1"/>
  <c r="O20" i="1"/>
  <c r="S34" i="1"/>
  <c r="AM30" i="1"/>
  <c r="L30" i="1" s="1"/>
  <c r="H31" i="1"/>
  <c r="F32" i="1"/>
  <c r="G32" i="1"/>
  <c r="I31" i="1"/>
  <c r="J29" i="1" l="1"/>
  <c r="AA29" i="1"/>
  <c r="AA30" i="1" s="1"/>
  <c r="AA31" i="1" s="1"/>
  <c r="AA33" i="1" s="1"/>
  <c r="S31" i="1" s="1"/>
  <c r="J34" i="1"/>
  <c r="AI30" i="1"/>
  <c r="AJ30" i="1" s="1"/>
  <c r="J39" i="1"/>
  <c r="J23" i="1"/>
  <c r="J37" i="1"/>
  <c r="J22" i="1"/>
  <c r="J31" i="1"/>
  <c r="J40" i="1"/>
  <c r="J24" i="1"/>
  <c r="AI19" i="1"/>
  <c r="J25" i="1"/>
  <c r="J32" i="1"/>
  <c r="AI29" i="1"/>
  <c r="AJ29" i="1" s="1"/>
  <c r="J26" i="1"/>
  <c r="J35" i="1"/>
  <c r="J19" i="1"/>
  <c r="J28" i="1"/>
  <c r="J30" i="1"/>
  <c r="J33" i="1"/>
  <c r="J38" i="1"/>
  <c r="AI31" i="1"/>
  <c r="J42" i="1"/>
  <c r="J43" i="1"/>
  <c r="J27" i="1"/>
  <c r="J36" i="1"/>
  <c r="J20" i="1"/>
  <c r="J41" i="1"/>
  <c r="J21" i="1"/>
  <c r="AM31" i="1"/>
  <c r="L31" i="1" s="1"/>
  <c r="AJ19" i="1"/>
  <c r="H32" i="1"/>
  <c r="G33" i="1"/>
  <c r="F33" i="1"/>
  <c r="AI32" i="1"/>
  <c r="I32" i="1"/>
  <c r="K27" i="1" l="1"/>
  <c r="K29" i="1"/>
  <c r="M29" i="1" s="1"/>
  <c r="K22" i="1"/>
  <c r="K38" i="1"/>
  <c r="K31" i="1"/>
  <c r="K20" i="1"/>
  <c r="K36" i="1"/>
  <c r="K19" i="1"/>
  <c r="K33" i="1"/>
  <c r="K26" i="1"/>
  <c r="K42" i="1"/>
  <c r="K35" i="1"/>
  <c r="K24" i="1"/>
  <c r="K40" i="1"/>
  <c r="K21" i="1"/>
  <c r="K37" i="1"/>
  <c r="K30" i="1"/>
  <c r="M30" i="1" s="1"/>
  <c r="K23" i="1"/>
  <c r="K39" i="1"/>
  <c r="K28" i="1"/>
  <c r="K25" i="1"/>
  <c r="K41" i="1"/>
  <c r="K34" i="1"/>
  <c r="K43" i="1"/>
  <c r="K32" i="1"/>
  <c r="AK29" i="1"/>
  <c r="AN29" i="1" s="1"/>
  <c r="AO29" i="1" s="1"/>
  <c r="AK31" i="1"/>
  <c r="AN31" i="1" s="1"/>
  <c r="AO31" i="1" s="1"/>
  <c r="AJ31" i="1"/>
  <c r="S32" i="1"/>
  <c r="AK30" i="1"/>
  <c r="AN30" i="1" s="1"/>
  <c r="AO30" i="1" s="1"/>
  <c r="M31" i="1"/>
  <c r="AK32" i="1"/>
  <c r="AK19" i="1"/>
  <c r="AM32" i="1"/>
  <c r="L32" i="1" s="1"/>
  <c r="H33" i="1"/>
  <c r="I33" i="1"/>
  <c r="AI33" i="1"/>
  <c r="AK33" i="1" s="1"/>
  <c r="AJ32" i="1"/>
  <c r="G34" i="1"/>
  <c r="F34" i="1"/>
  <c r="M32" i="1" l="1"/>
  <c r="AL19" i="1"/>
  <c r="AL31" i="1"/>
  <c r="AL29" i="1"/>
  <c r="AL30" i="1"/>
  <c r="AN32" i="1"/>
  <c r="AO32" i="1" s="1"/>
  <c r="AM33" i="1"/>
  <c r="L33" i="1" s="1"/>
  <c r="M33" i="1" s="1"/>
  <c r="AL32" i="1"/>
  <c r="H34" i="1"/>
  <c r="I34" i="1"/>
  <c r="AI34" i="1"/>
  <c r="AK34" i="1" s="1"/>
  <c r="F35" i="1"/>
  <c r="G35" i="1"/>
  <c r="AJ33" i="1"/>
  <c r="AN33" i="1" l="1"/>
  <c r="AO33" i="1" s="1"/>
  <c r="AM34" i="1"/>
  <c r="L34" i="1" s="1"/>
  <c r="M34" i="1" s="1"/>
  <c r="AL33" i="1"/>
  <c r="H35" i="1"/>
  <c r="AJ34" i="1"/>
  <c r="G36" i="1"/>
  <c r="F36" i="1"/>
  <c r="AI35" i="1"/>
  <c r="AK35" i="1" s="1"/>
  <c r="I35" i="1"/>
  <c r="AN34" i="1" l="1"/>
  <c r="AO34" i="1" s="1"/>
  <c r="AM35" i="1"/>
  <c r="L35" i="1" s="1"/>
  <c r="M35" i="1" s="1"/>
  <c r="AL34" i="1"/>
  <c r="H36" i="1"/>
  <c r="I36" i="1"/>
  <c r="AI36" i="1"/>
  <c r="AK36" i="1" s="1"/>
  <c r="AJ35" i="1"/>
  <c r="F37" i="1"/>
  <c r="G37" i="1"/>
  <c r="I19" i="1"/>
  <c r="F20" i="1"/>
  <c r="G20" i="1"/>
  <c r="F21" i="1"/>
  <c r="F22" i="1"/>
  <c r="F23" i="1"/>
  <c r="F24" i="1"/>
  <c r="F25" i="1"/>
  <c r="F26" i="1"/>
  <c r="F27" i="1"/>
  <c r="F28" i="1"/>
  <c r="H19" i="1"/>
  <c r="G19" i="1"/>
  <c r="AM36" i="1" l="1"/>
  <c r="L36" i="1" s="1"/>
  <c r="M36" i="1" s="1"/>
  <c r="AN19" i="1"/>
  <c r="AO19" i="1" s="1"/>
  <c r="AN35" i="1"/>
  <c r="AO35" i="1" s="1"/>
  <c r="AL35" i="1"/>
  <c r="H25" i="1"/>
  <c r="H28" i="1"/>
  <c r="H24" i="1"/>
  <c r="H37" i="1"/>
  <c r="H27" i="1"/>
  <c r="H23" i="1"/>
  <c r="H20" i="1"/>
  <c r="H21" i="1"/>
  <c r="H26" i="1"/>
  <c r="H22" i="1"/>
  <c r="F38" i="1"/>
  <c r="G38" i="1"/>
  <c r="AJ36" i="1"/>
  <c r="I37" i="1"/>
  <c r="AI37" i="1"/>
  <c r="AK37" i="1" s="1"/>
  <c r="I20" i="1"/>
  <c r="G21" i="1"/>
  <c r="G22" i="1"/>
  <c r="G23" i="1"/>
  <c r="G24" i="1"/>
  <c r="G25" i="1"/>
  <c r="G26" i="1"/>
  <c r="G27" i="1"/>
  <c r="G28" i="1"/>
  <c r="I21" i="1"/>
  <c r="I22" i="1"/>
  <c r="I23" i="1"/>
  <c r="I24" i="1"/>
  <c r="I25" i="1"/>
  <c r="I26" i="1"/>
  <c r="I27" i="1"/>
  <c r="I28" i="1"/>
  <c r="AN36" i="1" l="1"/>
  <c r="AO36" i="1" s="1"/>
  <c r="AM24" i="1"/>
  <c r="L24" i="1" s="1"/>
  <c r="M24" i="1" s="1"/>
  <c r="AM22" i="1"/>
  <c r="L22" i="1" s="1"/>
  <c r="M22" i="1" s="1"/>
  <c r="M23" i="1"/>
  <c r="AM28" i="1"/>
  <c r="L28" i="1" s="1"/>
  <c r="M28" i="1" s="1"/>
  <c r="L19" i="1"/>
  <c r="M19" i="1" s="1"/>
  <c r="AM21" i="1"/>
  <c r="L21" i="1" s="1"/>
  <c r="M21" i="1" s="1"/>
  <c r="AM37" i="1"/>
  <c r="L37" i="1" s="1"/>
  <c r="M37" i="1" s="1"/>
  <c r="AM20" i="1"/>
  <c r="L20" i="1" s="1"/>
  <c r="M20" i="1" s="1"/>
  <c r="AM26" i="1"/>
  <c r="L26" i="1" s="1"/>
  <c r="M26" i="1" s="1"/>
  <c r="AM27" i="1"/>
  <c r="L27" i="1" s="1"/>
  <c r="M27" i="1" s="1"/>
  <c r="AM25" i="1"/>
  <c r="L25" i="1" s="1"/>
  <c r="M25" i="1" s="1"/>
  <c r="AL36" i="1"/>
  <c r="H38" i="1"/>
  <c r="I38" i="1"/>
  <c r="AI38" i="1"/>
  <c r="AK38" i="1" s="1"/>
  <c r="AJ37" i="1"/>
  <c r="G39" i="1"/>
  <c r="F39" i="1"/>
  <c r="AI20" i="1"/>
  <c r="AK20" i="1" s="1"/>
  <c r="AI26" i="1"/>
  <c r="AK26" i="1" s="1"/>
  <c r="AI22" i="1"/>
  <c r="AK22" i="1" s="1"/>
  <c r="AI25" i="1"/>
  <c r="AK25" i="1" s="1"/>
  <c r="AI21" i="1"/>
  <c r="AK21" i="1" s="1"/>
  <c r="AI28" i="1"/>
  <c r="AK28" i="1" s="1"/>
  <c r="AI24" i="1"/>
  <c r="AK24" i="1" s="1"/>
  <c r="AI27" i="1"/>
  <c r="AK27" i="1" s="1"/>
  <c r="AI23" i="1"/>
  <c r="AK23" i="1" s="1"/>
  <c r="AN23" i="1" s="1"/>
  <c r="AN24" i="1" l="1"/>
  <c r="AO24" i="1" s="1"/>
  <c r="AN26" i="1"/>
  <c r="AO26" i="1" s="1"/>
  <c r="AN25" i="1"/>
  <c r="AO25" i="1" s="1"/>
  <c r="AN22" i="1"/>
  <c r="AN37" i="1"/>
  <c r="AO37" i="1" s="1"/>
  <c r="AM38" i="1"/>
  <c r="L38" i="1" s="1"/>
  <c r="M38" i="1" s="1"/>
  <c r="AN28" i="1"/>
  <c r="AO28" i="1" s="1"/>
  <c r="AN27" i="1"/>
  <c r="AO27" i="1" s="1"/>
  <c r="AN21" i="1"/>
  <c r="AO21" i="1" s="1"/>
  <c r="AN20" i="1"/>
  <c r="AL26" i="1"/>
  <c r="AL21" i="1"/>
  <c r="AL27" i="1"/>
  <c r="AL24" i="1"/>
  <c r="AL22" i="1"/>
  <c r="AO22" i="1"/>
  <c r="AL28" i="1"/>
  <c r="AL37" i="1"/>
  <c r="AL23" i="1"/>
  <c r="AO23" i="1"/>
  <c r="AL25" i="1"/>
  <c r="H39" i="1"/>
  <c r="I39" i="1"/>
  <c r="AI39" i="1"/>
  <c r="AK39" i="1" s="1"/>
  <c r="AJ38" i="1"/>
  <c r="F40" i="1"/>
  <c r="G40" i="1"/>
  <c r="AJ20" i="1"/>
  <c r="AJ28" i="1"/>
  <c r="AJ26" i="1"/>
  <c r="AJ23" i="1"/>
  <c r="AJ21" i="1"/>
  <c r="AJ27" i="1"/>
  <c r="AJ25" i="1"/>
  <c r="AJ24" i="1"/>
  <c r="AJ22" i="1"/>
  <c r="AN38" i="1" l="1"/>
  <c r="AO38" i="1" s="1"/>
  <c r="AM39" i="1"/>
  <c r="L39" i="1" s="1"/>
  <c r="M39" i="1" s="1"/>
  <c r="AL20" i="1"/>
  <c r="AO20" i="1"/>
  <c r="AL38" i="1"/>
  <c r="H40" i="1"/>
  <c r="G41" i="1"/>
  <c r="F41" i="1"/>
  <c r="I40" i="1"/>
  <c r="AI40" i="1"/>
  <c r="AK40" i="1" s="1"/>
  <c r="AJ39" i="1"/>
  <c r="AN39" i="1" l="1"/>
  <c r="AO39" i="1" s="1"/>
  <c r="AM40" i="1"/>
  <c r="L40" i="1" s="1"/>
  <c r="M40" i="1" s="1"/>
  <c r="AL39" i="1"/>
  <c r="H41" i="1"/>
  <c r="AJ40" i="1"/>
  <c r="F42" i="1"/>
  <c r="G42" i="1"/>
  <c r="I41" i="1"/>
  <c r="AI41" i="1"/>
  <c r="AK41" i="1" s="1"/>
  <c r="AM41" i="1" l="1"/>
  <c r="L41" i="1" s="1"/>
  <c r="M41" i="1" s="1"/>
  <c r="AN40" i="1"/>
  <c r="AO40" i="1" s="1"/>
  <c r="AL40" i="1"/>
  <c r="H42" i="1"/>
  <c r="AJ41" i="1"/>
  <c r="AI42" i="1"/>
  <c r="AK42" i="1" s="1"/>
  <c r="I42" i="1"/>
  <c r="G43" i="1"/>
  <c r="F43" i="1"/>
  <c r="AN41" i="1" l="1"/>
  <c r="AO41" i="1" s="1"/>
  <c r="AM42" i="1"/>
  <c r="L42" i="1" s="1"/>
  <c r="M42" i="1" s="1"/>
  <c r="AL41" i="1"/>
  <c r="H43" i="1"/>
  <c r="AJ42" i="1"/>
  <c r="I43" i="1"/>
  <c r="AI43" i="1"/>
  <c r="AK43" i="1" s="1"/>
  <c r="AN42" i="1" l="1"/>
  <c r="AO42" i="1" s="1"/>
  <c r="AM43" i="1"/>
  <c r="L43" i="1" s="1"/>
  <c r="M43" i="1" s="1"/>
  <c r="AL42" i="1"/>
  <c r="AJ43" i="1"/>
  <c r="AN43" i="1" l="1"/>
  <c r="AO43" i="1" s="1"/>
  <c r="AL43" i="1"/>
  <c r="C8" i="2" l="1"/>
  <c r="C11" i="2" s="1"/>
  <c r="G15" i="2" l="1"/>
  <c r="D11" i="2"/>
  <c r="G31" i="2"/>
  <c r="G33" i="2"/>
  <c r="G16" i="2"/>
  <c r="G19" i="2"/>
  <c r="G24" i="2"/>
  <c r="G28" i="2"/>
  <c r="G27" i="2"/>
  <c r="G25" i="2"/>
  <c r="G26" i="2"/>
  <c r="G20" i="2"/>
  <c r="G29" i="2"/>
  <c r="G22" i="2"/>
  <c r="G23" i="2"/>
  <c r="G32" i="2"/>
  <c r="G18" i="2"/>
  <c r="G34" i="2"/>
  <c r="G21" i="2"/>
  <c r="G30" i="2"/>
  <c r="G17" i="2"/>
  <c r="H23" i="2" l="1"/>
  <c r="H28" i="2"/>
  <c r="H21" i="2"/>
  <c r="H19" i="2"/>
  <c r="H24" i="2"/>
  <c r="H30" i="2"/>
  <c r="H32" i="2"/>
  <c r="H20" i="2"/>
  <c r="H34" i="2"/>
  <c r="H22" i="2"/>
  <c r="H26" i="2"/>
  <c r="H31" i="2"/>
  <c r="H18" i="2"/>
  <c r="H29" i="2"/>
  <c r="H25" i="2"/>
  <c r="H27" i="2"/>
  <c r="H33" i="2"/>
  <c r="M11" i="2" l="1"/>
  <c r="M12" i="2" s="1"/>
</calcChain>
</file>

<file path=xl/sharedStrings.xml><?xml version="1.0" encoding="utf-8"?>
<sst xmlns="http://schemas.openxmlformats.org/spreadsheetml/2006/main" count="181" uniqueCount="144">
  <si>
    <t>H (m)</t>
  </si>
  <si>
    <t>Deff</t>
  </si>
  <si>
    <t>External Porosity</t>
  </si>
  <si>
    <t>Total Porosity</t>
  </si>
  <si>
    <t>Retention factor k'</t>
  </si>
  <si>
    <t>k"</t>
  </si>
  <si>
    <t>(/)</t>
  </si>
  <si>
    <t>m²/s</t>
  </si>
  <si>
    <t>Determined using Total Pore blocking [1] or ISEC [2]</t>
  </si>
  <si>
    <t>Particle size</t>
  </si>
  <si>
    <t>m</t>
  </si>
  <si>
    <t>N (/)</t>
  </si>
  <si>
    <t>Zone rentention factor [4]</t>
  </si>
  <si>
    <t>Column length L</t>
  </si>
  <si>
    <t>s</t>
  </si>
  <si>
    <t>measured by replacing column with zero-dead volume union</t>
  </si>
  <si>
    <t>Input:</t>
  </si>
  <si>
    <t>Average</t>
  </si>
  <si>
    <t>Slope</t>
  </si>
  <si>
    <t>Peak Parking</t>
  </si>
  <si>
    <t>k'</t>
  </si>
  <si>
    <t>Determined using Sheet: 'Peak Parking' or 'Deff based on u0min'</t>
  </si>
  <si>
    <t>Required input (all yellow fields)</t>
  </si>
  <si>
    <t>r</t>
  </si>
  <si>
    <t>Effective diffusion coefficient inside</t>
  </si>
  <si>
    <t>mesoporous material of particles [5]</t>
  </si>
  <si>
    <r>
      <rPr>
        <sz val="11"/>
        <color theme="1"/>
        <rFont val="Symbol"/>
        <family val="1"/>
        <charset val="2"/>
      </rPr>
      <t>g</t>
    </r>
    <r>
      <rPr>
        <vertAlign val="subscript"/>
        <sz val="11"/>
        <color theme="1"/>
        <rFont val="Calibri"/>
        <family val="2"/>
        <scheme val="minor"/>
      </rPr>
      <t>eff</t>
    </r>
  </si>
  <si>
    <r>
      <t>D</t>
    </r>
    <r>
      <rPr>
        <vertAlign val="subscript"/>
        <sz val="12"/>
        <color theme="1"/>
        <rFont val="Calibri"/>
        <family val="2"/>
        <scheme val="minor"/>
      </rPr>
      <t>part</t>
    </r>
    <r>
      <rPr>
        <sz val="12"/>
        <color theme="1"/>
        <rFont val="Calibri"/>
        <family val="2"/>
        <scheme val="minor"/>
      </rPr>
      <t>/D</t>
    </r>
    <r>
      <rPr>
        <vertAlign val="subscript"/>
        <sz val="12"/>
        <color theme="1"/>
        <rFont val="Calibri"/>
        <family val="2"/>
        <scheme val="minor"/>
      </rPr>
      <t>m</t>
    </r>
  </si>
  <si>
    <r>
      <t>D</t>
    </r>
    <r>
      <rPr>
        <vertAlign val="subscript"/>
        <sz val="12"/>
        <color theme="1"/>
        <rFont val="Calibri"/>
        <family val="2"/>
        <scheme val="minor"/>
      </rPr>
      <t>pz</t>
    </r>
  </si>
  <si>
    <r>
      <t>k"</t>
    </r>
    <r>
      <rPr>
        <vertAlign val="subscript"/>
        <sz val="12"/>
        <color theme="1"/>
        <rFont val="Calibri"/>
        <family val="2"/>
        <scheme val="minor"/>
      </rPr>
      <t>0</t>
    </r>
  </si>
  <si>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Calibri"/>
        <family val="2"/>
        <scheme val="minor"/>
      </rPr>
      <t>1</t>
    </r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</si>
  <si>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1"/>
        <color theme="1"/>
        <rFont val="Calibri"/>
        <family val="2"/>
        <scheme val="minor"/>
      </rPr>
      <t>part</t>
    </r>
  </si>
  <si>
    <r>
      <t>t</t>
    </r>
    <r>
      <rPr>
        <b/>
        <vertAlign val="subscript"/>
        <sz val="14"/>
        <color theme="1"/>
        <rFont val="Calibri"/>
        <family val="2"/>
        <scheme val="minor"/>
      </rPr>
      <t>0</t>
    </r>
    <r>
      <rPr>
        <b/>
        <sz val="14"/>
        <color theme="1"/>
        <rFont val="Calibri"/>
        <family val="2"/>
        <scheme val="minor"/>
      </rPr>
      <t xml:space="preserve"> (s)</t>
    </r>
  </si>
  <si>
    <r>
      <t>u</t>
    </r>
    <r>
      <rPr>
        <b/>
        <vertAlign val="subscript"/>
        <sz val="14"/>
        <color theme="1"/>
        <rFont val="Calibri"/>
        <family val="2"/>
        <scheme val="minor"/>
      </rPr>
      <t>0</t>
    </r>
    <r>
      <rPr>
        <b/>
        <sz val="14"/>
        <color theme="1"/>
        <rFont val="Calibri"/>
        <family val="2"/>
        <scheme val="minor"/>
      </rPr>
      <t xml:space="preserve"> (m/s)</t>
    </r>
  </si>
  <si>
    <r>
      <t>u</t>
    </r>
    <r>
      <rPr>
        <b/>
        <vertAlign val="subscript"/>
        <sz val="14"/>
        <color theme="1"/>
        <rFont val="Calibri"/>
        <family val="2"/>
        <scheme val="minor"/>
      </rPr>
      <t>i</t>
    </r>
    <r>
      <rPr>
        <b/>
        <sz val="14"/>
        <color theme="1"/>
        <rFont val="Calibri"/>
        <family val="2"/>
        <scheme val="minor"/>
      </rPr>
      <t xml:space="preserve"> (m/s)</t>
    </r>
  </si>
  <si>
    <r>
      <rPr>
        <b/>
        <sz val="14"/>
        <color theme="1"/>
        <rFont val="Symbol"/>
        <family val="1"/>
        <charset val="2"/>
      </rPr>
      <t>n</t>
    </r>
    <r>
      <rPr>
        <b/>
        <vertAlign val="subscript"/>
        <sz val="14"/>
        <color theme="1"/>
        <rFont val="Calibri"/>
        <family val="2"/>
        <scheme val="minor"/>
      </rPr>
      <t>0</t>
    </r>
    <r>
      <rPr>
        <b/>
        <sz val="14"/>
        <color theme="1"/>
        <rFont val="Calibri"/>
        <family val="2"/>
        <scheme val="minor"/>
      </rPr>
      <t xml:space="preserve"> (/)</t>
    </r>
  </si>
  <si>
    <r>
      <rPr>
        <b/>
        <sz val="14"/>
        <color theme="1"/>
        <rFont val="Symbol"/>
        <family val="1"/>
        <charset val="2"/>
      </rPr>
      <t>n</t>
    </r>
    <r>
      <rPr>
        <b/>
        <vertAlign val="subscript"/>
        <sz val="14"/>
        <color theme="1"/>
        <rFont val="Calibri"/>
        <family val="2"/>
        <scheme val="minor"/>
      </rPr>
      <t>i</t>
    </r>
    <r>
      <rPr>
        <b/>
        <sz val="14"/>
        <color theme="1"/>
        <rFont val="Calibri"/>
        <family val="2"/>
        <scheme val="minor"/>
      </rPr>
      <t xml:space="preserve"> (/)</t>
    </r>
  </si>
  <si>
    <r>
      <t>Column length (only necessary if t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and N are given as dataset)</t>
    </r>
  </si>
  <si>
    <r>
      <t>Phase retention factor, defined as (t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-t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)/t</t>
    </r>
    <r>
      <rPr>
        <vertAlign val="subscript"/>
        <sz val="11"/>
        <color theme="1"/>
        <rFont val="Calibri"/>
        <family val="2"/>
        <scheme val="minor"/>
      </rPr>
      <t>0</t>
    </r>
  </si>
  <si>
    <r>
      <t>Determined using column void time t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color theme="1"/>
        <rFont val="Symbol"/>
        <family val="1"/>
        <charset val="2"/>
      </rPr>
      <t>e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= V</t>
    </r>
    <r>
      <rPr>
        <vertAlign val="subscript"/>
        <sz val="11"/>
        <color theme="1"/>
        <rFont val="Calibri"/>
        <family val="2"/>
        <scheme val="minor"/>
      </rPr>
      <t>column</t>
    </r>
    <r>
      <rPr>
        <sz val="11"/>
        <color theme="1"/>
        <rFont val="Calibri"/>
        <family val="2"/>
        <scheme val="minor"/>
      </rPr>
      <t>/(F*t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)</t>
    </r>
  </si>
  <si>
    <t>References:</t>
  </si>
  <si>
    <r>
      <t>D</t>
    </r>
    <r>
      <rPr>
        <b/>
        <vertAlign val="subscript"/>
        <sz val="12"/>
        <color theme="1"/>
        <rFont val="Calibri"/>
        <family val="2"/>
        <scheme val="minor"/>
      </rPr>
      <t>eff</t>
    </r>
  </si>
  <si>
    <r>
      <t>d</t>
    </r>
    <r>
      <rPr>
        <b/>
        <vertAlign val="subscript"/>
        <sz val="12"/>
        <color theme="1"/>
        <rFont val="Calibri"/>
        <family val="2"/>
        <scheme val="minor"/>
      </rPr>
      <t>p</t>
    </r>
  </si>
  <si>
    <r>
      <t>L</t>
    </r>
    <r>
      <rPr>
        <b/>
        <vertAlign val="subscript"/>
        <sz val="12"/>
        <color theme="1"/>
        <rFont val="Calibri"/>
        <family val="2"/>
        <scheme val="minor"/>
      </rPr>
      <t>column</t>
    </r>
  </si>
  <si>
    <t>(m²/s)</t>
  </si>
  <si>
    <t>k' (/)</t>
  </si>
  <si>
    <r>
      <t>H</t>
    </r>
    <r>
      <rPr>
        <b/>
        <vertAlign val="subscript"/>
        <sz val="14"/>
        <color theme="1"/>
        <rFont val="Calibri"/>
        <family val="2"/>
        <scheme val="minor"/>
      </rPr>
      <t>B</t>
    </r>
    <r>
      <rPr>
        <b/>
        <sz val="14"/>
        <color theme="1"/>
        <rFont val="Calibri"/>
        <family val="2"/>
        <scheme val="minor"/>
      </rPr>
      <t xml:space="preserve"> (m)</t>
    </r>
  </si>
  <si>
    <r>
      <t>t</t>
    </r>
    <r>
      <rPr>
        <b/>
        <vertAlign val="subscript"/>
        <sz val="14"/>
        <color theme="1"/>
        <rFont val="Calibri"/>
        <family val="2"/>
        <scheme val="minor"/>
      </rPr>
      <t>R</t>
    </r>
    <r>
      <rPr>
        <b/>
        <sz val="14"/>
        <color theme="1"/>
        <rFont val="Calibri"/>
        <family val="2"/>
        <scheme val="minor"/>
      </rPr>
      <t xml:space="preserve"> (min)</t>
    </r>
  </si>
  <si>
    <r>
      <t>t</t>
    </r>
    <r>
      <rPr>
        <b/>
        <vertAlign val="subscript"/>
        <sz val="14"/>
        <color theme="1"/>
        <rFont val="Calibri"/>
        <family val="2"/>
        <scheme val="minor"/>
      </rPr>
      <t>R</t>
    </r>
    <r>
      <rPr>
        <b/>
        <sz val="14"/>
        <color theme="1"/>
        <rFont val="Calibri"/>
        <family val="2"/>
        <scheme val="minor"/>
      </rPr>
      <t xml:space="preserve"> (s)</t>
    </r>
  </si>
  <si>
    <r>
      <rPr>
        <b/>
        <sz val="14"/>
        <color theme="1"/>
        <rFont val="Symbol"/>
        <family val="1"/>
        <charset val="2"/>
      </rPr>
      <t>s</t>
    </r>
    <r>
      <rPr>
        <b/>
        <vertAlign val="superscript"/>
        <sz val="14"/>
        <color theme="1"/>
        <rFont val="Calibri"/>
        <family val="2"/>
        <scheme val="minor"/>
      </rPr>
      <t>2</t>
    </r>
    <r>
      <rPr>
        <b/>
        <vertAlign val="subscript"/>
        <sz val="14"/>
        <color theme="1"/>
        <rFont val="Calibri"/>
        <family val="2"/>
        <scheme val="minor"/>
      </rPr>
      <t>x</t>
    </r>
    <r>
      <rPr>
        <b/>
        <sz val="14"/>
        <color theme="1"/>
        <rFont val="Calibri"/>
        <family val="2"/>
        <scheme val="minor"/>
      </rPr>
      <t xml:space="preserve"> (/)</t>
    </r>
  </si>
  <si>
    <r>
      <rPr>
        <b/>
        <sz val="14"/>
        <color theme="1"/>
        <rFont val="Symbol"/>
        <family val="1"/>
        <charset val="2"/>
      </rPr>
      <t>Ds</t>
    </r>
    <r>
      <rPr>
        <b/>
        <vertAlign val="superscript"/>
        <sz val="14"/>
        <color theme="1"/>
        <rFont val="Calibri"/>
        <family val="2"/>
        <scheme val="minor"/>
      </rPr>
      <t>2</t>
    </r>
    <r>
      <rPr>
        <b/>
        <vertAlign val="subscript"/>
        <sz val="14"/>
        <color theme="1"/>
        <rFont val="Calibri"/>
        <family val="2"/>
        <scheme val="minor"/>
      </rPr>
      <t>x</t>
    </r>
    <r>
      <rPr>
        <b/>
        <sz val="14"/>
        <color theme="1"/>
        <rFont val="Calibri"/>
        <family val="2"/>
        <scheme val="minor"/>
      </rPr>
      <t xml:space="preserve"> (/)</t>
    </r>
  </si>
  <si>
    <r>
      <t>t</t>
    </r>
    <r>
      <rPr>
        <b/>
        <vertAlign val="subscript"/>
        <sz val="14"/>
        <color theme="1"/>
        <rFont val="Calibri"/>
        <family val="2"/>
        <scheme val="minor"/>
      </rPr>
      <t xml:space="preserve">R </t>
    </r>
    <r>
      <rPr>
        <b/>
        <sz val="14"/>
        <color theme="1"/>
        <rFont val="Calibri"/>
        <family val="2"/>
        <scheme val="minor"/>
      </rPr>
      <t>(s)</t>
    </r>
  </si>
  <si>
    <r>
      <t>u</t>
    </r>
    <r>
      <rPr>
        <b/>
        <vertAlign val="subscript"/>
        <sz val="14"/>
        <color theme="1"/>
        <rFont val="Calibri"/>
        <family val="2"/>
        <scheme val="minor"/>
      </rPr>
      <t>R</t>
    </r>
    <r>
      <rPr>
        <b/>
        <sz val="14"/>
        <color theme="1"/>
        <rFont val="Calibri"/>
        <family val="2"/>
        <scheme val="minor"/>
      </rPr>
      <t xml:space="preserve"> (m/s)</t>
    </r>
  </si>
  <si>
    <r>
      <t>Extra column  residence time t</t>
    </r>
    <r>
      <rPr>
        <b/>
        <vertAlign val="subscript"/>
        <sz val="12"/>
        <color theme="1"/>
        <rFont val="Calibri"/>
        <family val="2"/>
        <scheme val="minor"/>
      </rPr>
      <t>ec</t>
    </r>
  </si>
  <si>
    <r>
      <t>Isocratic measurement (no stop) to determine k' and u</t>
    </r>
    <r>
      <rPr>
        <b/>
        <vertAlign val="subscript"/>
        <sz val="14"/>
        <color theme="1"/>
        <rFont val="Calibri"/>
        <family val="2"/>
        <scheme val="minor"/>
      </rPr>
      <t>R</t>
    </r>
  </si>
  <si>
    <r>
      <t>[find H</t>
    </r>
    <r>
      <rPr>
        <b/>
        <vertAlign val="subscript"/>
        <sz val="12"/>
        <color theme="1"/>
        <rFont val="Calibri"/>
        <family val="2"/>
        <scheme val="minor"/>
      </rPr>
      <t>B</t>
    </r>
    <r>
      <rPr>
        <b/>
        <sz val="12"/>
        <color theme="1"/>
        <rFont val="Calibri"/>
        <family val="2"/>
        <scheme val="minor"/>
      </rPr>
      <t xml:space="preserve"> via measurement at very low F (where H</t>
    </r>
    <r>
      <rPr>
        <b/>
        <sz val="12"/>
        <color theme="1"/>
        <rFont val="Symbol"/>
        <family val="1"/>
        <charset val="2"/>
      </rPr>
      <t xml:space="preserve"> @</t>
    </r>
    <r>
      <rPr>
        <b/>
        <sz val="12"/>
        <color theme="1"/>
        <rFont val="Calibri"/>
        <family val="2"/>
        <scheme val="minor"/>
      </rPr>
      <t>H</t>
    </r>
    <r>
      <rPr>
        <b/>
        <vertAlign val="subscript"/>
        <sz val="12"/>
        <color theme="1"/>
        <rFont val="Calibri"/>
        <family val="2"/>
        <scheme val="minor"/>
      </rPr>
      <t>B</t>
    </r>
    <r>
      <rPr>
        <b/>
        <sz val="12"/>
        <color theme="1"/>
        <rFont val="Calibri"/>
        <family val="2"/>
        <scheme val="minor"/>
      </rPr>
      <t>), or by curve fitting van Deemter graph containing a suffcient number of data points in the low F-range and taking H</t>
    </r>
    <r>
      <rPr>
        <b/>
        <vertAlign val="subscript"/>
        <sz val="12"/>
        <color theme="1"/>
        <rFont val="Calibri"/>
        <family val="2"/>
        <scheme val="minor"/>
      </rPr>
      <t>B</t>
    </r>
    <r>
      <rPr>
        <b/>
        <sz val="12"/>
        <color theme="1"/>
        <rFont val="Calibri"/>
        <family val="2"/>
        <scheme val="minor"/>
      </rPr>
      <t>=B/u]</t>
    </r>
  </si>
  <si>
    <r>
      <t>D</t>
    </r>
    <r>
      <rPr>
        <b/>
        <vertAlign val="subscript"/>
        <sz val="14"/>
        <color theme="1"/>
        <rFont val="Calibri"/>
        <family val="2"/>
        <scheme val="minor"/>
      </rPr>
      <t>eff</t>
    </r>
  </si>
  <si>
    <t>(average)</t>
  </si>
  <si>
    <r>
      <t>Alternative input for t</t>
    </r>
    <r>
      <rPr>
        <b/>
        <vertAlign val="subscript"/>
        <sz val="14"/>
        <color theme="1"/>
        <rFont val="Calibri"/>
        <family val="2"/>
        <scheme val="minor"/>
      </rPr>
      <t>0</t>
    </r>
    <r>
      <rPr>
        <b/>
        <sz val="14"/>
        <color theme="1"/>
        <rFont val="Calibri"/>
        <family val="2"/>
        <scheme val="minor"/>
      </rPr>
      <t xml:space="preserve"> and N</t>
    </r>
  </si>
  <si>
    <r>
      <t>Sh</t>
    </r>
    <r>
      <rPr>
        <b/>
        <vertAlign val="subscript"/>
        <sz val="14"/>
        <color theme="1"/>
        <rFont val="Calibri"/>
        <family val="2"/>
        <scheme val="minor"/>
      </rPr>
      <t xml:space="preserve">m </t>
    </r>
    <r>
      <rPr>
        <b/>
        <sz val="14"/>
        <color theme="1"/>
        <rFont val="Calibri"/>
        <family val="2"/>
        <scheme val="minor"/>
      </rPr>
      <t>*</t>
    </r>
  </si>
  <si>
    <r>
      <t xml:space="preserve">* valid in the range 0,35 &lt; </t>
    </r>
    <r>
      <rPr>
        <sz val="12"/>
        <color theme="1"/>
        <rFont val="Symbol"/>
        <family val="1"/>
        <charset val="2"/>
      </rPr>
      <t>e</t>
    </r>
    <r>
      <rPr>
        <sz val="12"/>
        <color theme="1"/>
        <rFont val="Calibri"/>
        <family val="2"/>
        <scheme val="minor"/>
      </rPr>
      <t xml:space="preserve"> &lt; 0,44 and 1 &lt; </t>
    </r>
    <r>
      <rPr>
        <sz val="12"/>
        <color theme="1"/>
        <rFont val="Symbol"/>
        <family val="1"/>
        <charset val="2"/>
      </rPr>
      <t>n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 xml:space="preserve"> &lt; 250</t>
    </r>
  </si>
  <si>
    <r>
      <t>h-h</t>
    </r>
    <r>
      <rPr>
        <b/>
        <vertAlign val="subscript"/>
        <sz val="14"/>
        <color theme="1"/>
        <rFont val="Calibri"/>
        <family val="2"/>
        <scheme val="minor"/>
      </rPr>
      <t>B</t>
    </r>
    <r>
      <rPr>
        <b/>
        <sz val="14"/>
        <color theme="1"/>
        <rFont val="Calibri"/>
        <family val="2"/>
        <scheme val="minor"/>
      </rPr>
      <t>-h</t>
    </r>
    <r>
      <rPr>
        <b/>
        <vertAlign val="subscript"/>
        <sz val="14"/>
        <color theme="1"/>
        <rFont val="Calibri"/>
        <family val="2"/>
        <scheme val="minor"/>
      </rPr>
      <t>Cs</t>
    </r>
    <r>
      <rPr>
        <b/>
        <sz val="14"/>
        <color theme="1"/>
        <rFont val="Calibri"/>
        <family val="2"/>
        <scheme val="minor"/>
      </rPr>
      <t>-h</t>
    </r>
    <r>
      <rPr>
        <b/>
        <vertAlign val="subscript"/>
        <sz val="14"/>
        <color theme="1"/>
        <rFont val="Calibri"/>
        <family val="2"/>
        <scheme val="minor"/>
      </rPr>
      <t>Cm</t>
    </r>
  </si>
  <si>
    <r>
      <t>H-H</t>
    </r>
    <r>
      <rPr>
        <b/>
        <vertAlign val="subscript"/>
        <sz val="14"/>
        <color theme="1"/>
        <rFont val="Calibri"/>
        <family val="2"/>
        <scheme val="minor"/>
      </rPr>
      <t>B</t>
    </r>
    <r>
      <rPr>
        <b/>
        <sz val="14"/>
        <color theme="1"/>
        <rFont val="Calibri"/>
        <family val="2"/>
        <scheme val="minor"/>
      </rPr>
      <t>-H</t>
    </r>
    <r>
      <rPr>
        <b/>
        <vertAlign val="subscript"/>
        <sz val="14"/>
        <color theme="1"/>
        <rFont val="Calibri"/>
        <family val="2"/>
        <scheme val="minor"/>
      </rPr>
      <t>Cs</t>
    </r>
    <r>
      <rPr>
        <b/>
        <sz val="14"/>
        <color theme="1"/>
        <rFont val="Calibri"/>
        <family val="2"/>
        <scheme val="minor"/>
      </rPr>
      <t>-H</t>
    </r>
    <r>
      <rPr>
        <b/>
        <vertAlign val="subscript"/>
        <sz val="14"/>
        <color theme="1"/>
        <rFont val="Calibri"/>
        <family val="2"/>
        <scheme val="minor"/>
      </rPr>
      <t>Cm</t>
    </r>
  </si>
  <si>
    <t>T (K)</t>
  </si>
  <si>
    <t xml:space="preserve">K </t>
  </si>
  <si>
    <t>F</t>
  </si>
  <si>
    <t>[6] K. Miyabe, J. Sep. Sci. 34 (2011) 2674-2679.</t>
  </si>
  <si>
    <t>g/mol</t>
  </si>
  <si>
    <t>Viscosity</t>
  </si>
  <si>
    <t>Vb</t>
  </si>
  <si>
    <t>cm³/mol</t>
  </si>
  <si>
    <t>Solvent A</t>
  </si>
  <si>
    <t>Solvent B</t>
  </si>
  <si>
    <r>
      <rPr>
        <b/>
        <sz val="12"/>
        <color rgb="FFFF0000"/>
        <rFont val="Calibri"/>
        <family val="2"/>
        <scheme val="minor"/>
      </rPr>
      <t>Molar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fraction solvent A</t>
    </r>
  </si>
  <si>
    <t>Mixture</t>
  </si>
  <si>
    <t>Density</t>
  </si>
  <si>
    <t>V fraction</t>
  </si>
  <si>
    <t>kg/m³</t>
  </si>
  <si>
    <t>(H2O)</t>
  </si>
  <si>
    <t>(ACN)</t>
  </si>
  <si>
    <r>
      <rPr>
        <b/>
        <sz val="12"/>
        <color rgb="FFFF0000"/>
        <rFont val="Calibri"/>
        <family val="2"/>
        <scheme val="minor"/>
      </rPr>
      <t>Molar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fraction solvent B</t>
    </r>
  </si>
  <si>
    <t>= should be equal to 1 !</t>
  </si>
  <si>
    <t>Density of the mobile phase solvent B at temperature T</t>
  </si>
  <si>
    <t>Volume fraction of solvent A</t>
  </si>
  <si>
    <t>Volume fraction of solvent B</t>
  </si>
  <si>
    <t xml:space="preserve">h </t>
  </si>
  <si>
    <r>
      <t>D</t>
    </r>
    <r>
      <rPr>
        <vertAlign val="subscript"/>
        <sz val="12"/>
        <color theme="1"/>
        <rFont val="Calibri"/>
        <family val="2"/>
        <scheme val="minor"/>
      </rPr>
      <t>pz</t>
    </r>
    <r>
      <rPr>
        <sz val="12"/>
        <color theme="1"/>
        <rFont val="Calibri"/>
        <family val="2"/>
        <scheme val="minor"/>
      </rPr>
      <t>/D</t>
    </r>
    <r>
      <rPr>
        <vertAlign val="subscript"/>
        <sz val="12"/>
        <color theme="1"/>
        <rFont val="Calibri"/>
        <family val="2"/>
        <scheme val="minor"/>
      </rPr>
      <t>m</t>
    </r>
  </si>
  <si>
    <r>
      <t>h-h</t>
    </r>
    <r>
      <rPr>
        <b/>
        <vertAlign val="subscript"/>
        <sz val="14"/>
        <color rgb="FFC00000"/>
        <rFont val="Calibri"/>
        <family val="2"/>
        <scheme val="minor"/>
      </rPr>
      <t>B</t>
    </r>
  </si>
  <si>
    <r>
      <t>H-H</t>
    </r>
    <r>
      <rPr>
        <b/>
        <vertAlign val="subscript"/>
        <sz val="14"/>
        <color theme="6" tint="-0.249977111117893"/>
        <rFont val="Calibri"/>
        <family val="2"/>
        <scheme val="minor"/>
      </rPr>
      <t>B</t>
    </r>
    <r>
      <rPr>
        <b/>
        <sz val="14"/>
        <color theme="6" tint="-0.249977111117893"/>
        <rFont val="Calibri"/>
        <family val="2"/>
        <scheme val="minor"/>
      </rPr>
      <t>-H</t>
    </r>
    <r>
      <rPr>
        <b/>
        <vertAlign val="subscript"/>
        <sz val="14"/>
        <color theme="6" tint="-0.249977111117893"/>
        <rFont val="Calibri"/>
        <family val="2"/>
        <scheme val="minor"/>
      </rPr>
      <t>Cs</t>
    </r>
  </si>
  <si>
    <r>
      <t>h-h</t>
    </r>
    <r>
      <rPr>
        <b/>
        <vertAlign val="subscript"/>
        <sz val="14"/>
        <color theme="6" tint="-0.249977111117893"/>
        <rFont val="Calibri"/>
        <family val="2"/>
        <scheme val="minor"/>
      </rPr>
      <t>B</t>
    </r>
    <r>
      <rPr>
        <b/>
        <sz val="14"/>
        <color theme="6" tint="-0.249977111117893"/>
        <rFont val="Calibri"/>
        <family val="2"/>
        <scheme val="minor"/>
      </rPr>
      <t>-h</t>
    </r>
    <r>
      <rPr>
        <b/>
        <vertAlign val="subscript"/>
        <sz val="14"/>
        <color theme="6" tint="-0.249977111117893"/>
        <rFont val="Calibri"/>
        <family val="2"/>
        <scheme val="minor"/>
      </rPr>
      <t>Cs</t>
    </r>
  </si>
  <si>
    <t>absolute temperature</t>
  </si>
  <si>
    <t>density of the mobile phase solvent A at temperature T</t>
  </si>
  <si>
    <r>
      <t>association factor (2,6 for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O; 1,37 for ACN ; 1,9 for MeOH; 1,5 for EtOH [6])</t>
    </r>
  </si>
  <si>
    <r>
      <t>molar mass solvent (18g/mol for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O; 41,05g/mol for ACN; 32,04g/mol for MeOH; 46,07g/mol for  EtOH)</t>
    </r>
  </si>
  <si>
    <t>MM</t>
  </si>
  <si>
    <r>
      <t>cP = centipoise = 10</t>
    </r>
    <r>
      <rPr>
        <vertAlign val="superscript"/>
        <sz val="11"/>
        <color theme="1"/>
        <rFont val="Calibri"/>
        <family val="2"/>
        <scheme val="minor"/>
      </rPr>
      <t>-3</t>
    </r>
    <r>
      <rPr>
        <sz val="11"/>
        <color theme="1"/>
        <rFont val="Calibri"/>
        <family val="2"/>
        <scheme val="minor"/>
      </rPr>
      <t xml:space="preserve"> N×</t>
    </r>
    <r>
      <rPr>
        <sz val="9.35"/>
        <color theme="1"/>
        <rFont val="Calibri"/>
        <family val="2"/>
        <scheme val="minor"/>
      </rPr>
      <t>s/m²; of the mobile phae mixture</t>
    </r>
  </si>
  <si>
    <r>
      <t>Example Wilke Chang Calculation at 30°C for butyrophenone in ACN/H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O mixture 50/50 V%/V%)</t>
    </r>
  </si>
  <si>
    <t>Product of association factor and molar for mobile phase mixture, weighed on molar fraction</t>
  </si>
  <si>
    <t>[1] D. Cabooter, et al., J. Chromatogr. A, 1157 (2007) 131-141</t>
  </si>
  <si>
    <t>[2] I. Halasz, K. Martin, Angew. Chem. Int. Ed. Engl., 19 (1980) 24 ; D. Lubda, et al., J. Chromatogr. A, 1083 (2005) 14</t>
  </si>
  <si>
    <t>[3] C.R. Wilke, P. Chang, AICHE Journal 1 (1955) 264, D. Guillarme, et al., J. Chromatogr. A, 1157 (2007) 131-141</t>
  </si>
  <si>
    <t>[4] G. Desmet, K. Broeckhoven, Anal. Chem. 2008 (80) 8076-8088.</t>
  </si>
  <si>
    <t>[5] G. Desmet, S. Deridder, J. Chromatogr. A 1218 (2011) 32–45; A. Liekens, et al., J. Chromatogr. A, 1218 (2001) 4406–4416.</t>
  </si>
  <si>
    <t>[7] Edward Baum, Chemical Property Estimation: Theory and Application, p. 39, CRC Press, ISBN 9780873719384</t>
  </si>
  <si>
    <t>[5]</t>
  </si>
  <si>
    <r>
      <t>H-H</t>
    </r>
    <r>
      <rPr>
        <b/>
        <vertAlign val="subscript"/>
        <sz val="14"/>
        <color rgb="FFC00000"/>
        <rFont val="Calibri"/>
        <family val="2"/>
        <scheme val="minor"/>
      </rPr>
      <t>B</t>
    </r>
    <r>
      <rPr>
        <b/>
        <sz val="14"/>
        <color rgb="FFC00000"/>
        <rFont val="Calibri"/>
        <family val="2"/>
        <scheme val="minor"/>
      </rPr>
      <t>(m)</t>
    </r>
  </si>
  <si>
    <r>
      <t>h</t>
    </r>
    <r>
      <rPr>
        <b/>
        <vertAlign val="subscript"/>
        <sz val="14"/>
        <color theme="1"/>
        <rFont val="Calibri"/>
        <family val="2"/>
        <scheme val="minor"/>
      </rPr>
      <t>Cm</t>
    </r>
  </si>
  <si>
    <r>
      <rPr>
        <b/>
        <sz val="14"/>
        <color theme="1"/>
        <rFont val="Calibri"/>
        <family val="2"/>
        <scheme val="minor"/>
      </rPr>
      <t>Calculated Parameters</t>
    </r>
    <r>
      <rPr>
        <sz val="11"/>
        <color theme="1"/>
        <rFont val="Calibri"/>
        <family val="2"/>
        <scheme val="minor"/>
      </rPr>
      <t xml:space="preserve"> (DO NOT CHANGE)</t>
    </r>
  </si>
  <si>
    <t>* (pressure drop across column, only needed for kinetic plot)</t>
  </si>
  <si>
    <t>Kv0</t>
  </si>
  <si>
    <t>m2</t>
  </si>
  <si>
    <t>column permeability</t>
  </si>
  <si>
    <r>
      <rPr>
        <b/>
        <sz val="14"/>
        <color theme="1"/>
        <rFont val="Symbol"/>
        <family val="1"/>
        <charset val="2"/>
      </rPr>
      <t>D</t>
    </r>
    <r>
      <rPr>
        <b/>
        <sz val="14"/>
        <color theme="1"/>
        <rFont val="Calibri"/>
        <family val="2"/>
        <scheme val="minor"/>
      </rPr>
      <t>P*(bar)</t>
    </r>
  </si>
  <si>
    <t>kg/(ms)</t>
  </si>
  <si>
    <t>viscosity*</t>
  </si>
  <si>
    <t>(only needed for kinetic plot)</t>
  </si>
  <si>
    <r>
      <rPr>
        <sz val="12"/>
        <color theme="1"/>
        <rFont val="Symbol"/>
        <family val="1"/>
        <charset val="2"/>
      </rPr>
      <t>f</t>
    </r>
    <r>
      <rPr>
        <vertAlign val="subscript"/>
        <sz val="12"/>
        <color theme="1"/>
        <rFont val="Calibri"/>
        <family val="2"/>
        <scheme val="minor"/>
      </rPr>
      <t>0</t>
    </r>
  </si>
  <si>
    <t>flow resistance</t>
  </si>
  <si>
    <t>KINETIC PLOT CURVE</t>
  </si>
  <si>
    <t>N(/)</t>
  </si>
  <si>
    <t>(bar)</t>
  </si>
  <si>
    <r>
      <rPr>
        <b/>
        <sz val="12"/>
        <color theme="1"/>
        <rFont val="Symbol"/>
        <family val="1"/>
        <charset val="2"/>
      </rPr>
      <t>D</t>
    </r>
    <r>
      <rPr>
        <b/>
        <sz val="12"/>
        <color theme="1"/>
        <rFont val="Calibri"/>
        <family val="2"/>
        <scheme val="minor"/>
      </rPr>
      <t>Pmax*</t>
    </r>
  </si>
  <si>
    <r>
      <t>h</t>
    </r>
    <r>
      <rPr>
        <b/>
        <vertAlign val="subscript"/>
        <sz val="14"/>
        <color theme="1"/>
        <rFont val="Calibri"/>
        <family val="2"/>
        <scheme val="minor"/>
      </rPr>
      <t>A</t>
    </r>
    <r>
      <rPr>
        <b/>
        <vertAlign val="superscript"/>
        <sz val="14"/>
        <color theme="1"/>
        <rFont val="Calibri"/>
        <family val="2"/>
        <scheme val="minor"/>
      </rPr>
      <t>*</t>
    </r>
  </si>
  <si>
    <r>
      <t>h</t>
    </r>
    <r>
      <rPr>
        <b/>
        <vertAlign val="subscript"/>
        <sz val="14"/>
        <color theme="1"/>
        <rFont val="Calibri"/>
        <family val="2"/>
        <scheme val="minor"/>
      </rPr>
      <t>B</t>
    </r>
  </si>
  <si>
    <r>
      <t>h</t>
    </r>
    <r>
      <rPr>
        <b/>
        <vertAlign val="subscript"/>
        <sz val="14"/>
        <color theme="1"/>
        <rFont val="Calibri"/>
        <family val="2"/>
        <scheme val="minor"/>
      </rPr>
      <t>Cs</t>
    </r>
  </si>
  <si>
    <r>
      <t xml:space="preserve">Molecular diffusion coeffcient; literature values, measured or </t>
    </r>
    <r>
      <rPr>
        <u/>
        <sz val="11"/>
        <color theme="1"/>
        <rFont val="Calibri"/>
        <family val="2"/>
        <scheme val="minor"/>
      </rPr>
      <t>calculated using Wilke-Chang equation in separate sheet</t>
    </r>
    <r>
      <rPr>
        <sz val="11"/>
        <color theme="1"/>
        <rFont val="Calibri"/>
        <family val="2"/>
        <scheme val="minor"/>
      </rPr>
      <t xml:space="preserve"> [3,6,7]</t>
    </r>
  </si>
  <si>
    <t>Specific parameters (calculated, DO NOT CHANGE)</t>
  </si>
  <si>
    <r>
      <t>F</t>
    </r>
    <r>
      <rPr>
        <sz val="11"/>
        <color theme="1"/>
        <rFont val="Calibri"/>
        <family val="2"/>
        <scheme val="minor"/>
      </rPr>
      <t>*MM</t>
    </r>
  </si>
  <si>
    <t>Estimated diffusion coefficient of compound using Wilke-Chang Equation, for cell S25</t>
  </si>
  <si>
    <t>molar volume of the solvent at the normal boiling point, group contributions are 7 (C,H,N,O), 10. 5 (F), 24.5 (Cl), 31.5 (Br), 21 (S), -7 (ring), 7 (double bond), 14 (triple bond) ... See Table 4.3 in [7], example for butyrophenone</t>
  </si>
  <si>
    <r>
      <t>D</t>
    </r>
    <r>
      <rPr>
        <b/>
        <vertAlign val="subscript"/>
        <sz val="14"/>
        <color theme="1"/>
        <rFont val="Calibri"/>
        <family val="2"/>
        <scheme val="minor"/>
      </rPr>
      <t>m</t>
    </r>
  </si>
  <si>
    <r>
      <t>D</t>
    </r>
    <r>
      <rPr>
        <b/>
        <vertAlign val="subscript"/>
        <sz val="12"/>
        <color theme="1"/>
        <rFont val="Calibri"/>
        <family val="2"/>
        <scheme val="minor"/>
      </rPr>
      <t>m</t>
    </r>
  </si>
  <si>
    <r>
      <t>t</t>
    </r>
    <r>
      <rPr>
        <b/>
        <vertAlign val="subscript"/>
        <sz val="12"/>
        <color theme="1"/>
        <rFont val="Calibri"/>
        <family val="2"/>
        <scheme val="minor"/>
      </rPr>
      <t xml:space="preserve">0 </t>
    </r>
    <r>
      <rPr>
        <b/>
        <sz val="12"/>
        <color theme="1"/>
        <rFont val="Calibri"/>
        <family val="2"/>
        <scheme val="minor"/>
      </rPr>
      <t>(KPL,min)</t>
    </r>
  </si>
  <si>
    <r>
      <t>Provide data for t</t>
    </r>
    <r>
      <rPr>
        <b/>
        <u/>
        <vertAlign val="subscript"/>
        <sz val="14"/>
        <color theme="1"/>
        <rFont val="Calibri"/>
        <family val="2"/>
        <scheme val="minor"/>
      </rPr>
      <t>0</t>
    </r>
    <r>
      <rPr>
        <b/>
        <u/>
        <sz val="14"/>
        <color theme="1"/>
        <rFont val="Calibri"/>
        <family val="2"/>
        <scheme val="minor"/>
      </rPr>
      <t>,N or for u</t>
    </r>
    <r>
      <rPr>
        <b/>
        <u/>
        <vertAlign val="subscript"/>
        <sz val="14"/>
        <color theme="1"/>
        <rFont val="Calibri"/>
        <family val="2"/>
        <scheme val="minor"/>
      </rPr>
      <t>0</t>
    </r>
    <r>
      <rPr>
        <b/>
        <u/>
        <sz val="14"/>
        <color theme="1"/>
        <rFont val="Calibri"/>
        <family val="2"/>
        <scheme val="minor"/>
      </rPr>
      <t>, H</t>
    </r>
  </si>
  <si>
    <r>
      <t>*h</t>
    </r>
    <r>
      <rPr>
        <b/>
        <vertAlign val="subscript"/>
        <sz val="14"/>
        <color theme="1"/>
        <rFont val="Calibri"/>
        <family val="2"/>
        <scheme val="minor"/>
      </rPr>
      <t>A</t>
    </r>
    <r>
      <rPr>
        <b/>
        <sz val="14"/>
        <color theme="1"/>
        <rFont val="Calibri"/>
        <family val="2"/>
        <scheme val="minor"/>
      </rPr>
      <t>=h-h</t>
    </r>
    <r>
      <rPr>
        <b/>
        <vertAlign val="subscript"/>
        <sz val="14"/>
        <color theme="1"/>
        <rFont val="Calibri"/>
        <family val="2"/>
        <scheme val="minor"/>
      </rPr>
      <t>B</t>
    </r>
    <r>
      <rPr>
        <b/>
        <sz val="14"/>
        <color theme="1"/>
        <rFont val="Calibri"/>
        <family val="2"/>
        <scheme val="minor"/>
      </rPr>
      <t>-h</t>
    </r>
    <r>
      <rPr>
        <b/>
        <vertAlign val="subscript"/>
        <sz val="14"/>
        <color theme="1"/>
        <rFont val="Calibri"/>
        <family val="2"/>
        <scheme val="minor"/>
      </rPr>
      <t>Cm</t>
    </r>
    <r>
      <rPr>
        <b/>
        <sz val="14"/>
        <color theme="1"/>
        <rFont val="Calibri"/>
        <family val="2"/>
        <scheme val="minor"/>
      </rPr>
      <t>-h</t>
    </r>
    <r>
      <rPr>
        <b/>
        <vertAlign val="subscript"/>
        <sz val="14"/>
        <color theme="1"/>
        <rFont val="Calibri"/>
        <family val="2"/>
        <scheme val="minor"/>
      </rPr>
      <t>Cs</t>
    </r>
  </si>
  <si>
    <r>
      <t>K</t>
    </r>
    <r>
      <rPr>
        <vertAlign val="subscript"/>
        <sz val="12"/>
        <color theme="1"/>
        <rFont val="Calibri"/>
        <family val="2"/>
        <scheme val="minor"/>
      </rPr>
      <t>v0</t>
    </r>
  </si>
  <si>
    <t>retention factor (or set k ' = 0 if uR is filled in column A)</t>
  </si>
  <si>
    <r>
      <t>t</t>
    </r>
    <r>
      <rPr>
        <b/>
        <vertAlign val="subscript"/>
        <sz val="14"/>
        <color theme="1"/>
        <rFont val="Calibri"/>
        <family val="2"/>
        <scheme val="minor"/>
      </rPr>
      <t>park</t>
    </r>
    <r>
      <rPr>
        <b/>
        <sz val="14"/>
        <color theme="1"/>
        <rFont val="Calibri"/>
        <family val="2"/>
        <scheme val="minor"/>
      </rPr>
      <t xml:space="preserve"> (s)</t>
    </r>
  </si>
  <si>
    <t>zone retention factor of non-retained species [4]</t>
  </si>
  <si>
    <r>
      <rPr>
        <sz val="14"/>
        <color theme="1"/>
        <rFont val="Symbol"/>
        <family val="1"/>
        <charset val="2"/>
      </rPr>
      <t>D</t>
    </r>
    <r>
      <rPr>
        <b/>
        <sz val="14"/>
        <color theme="1"/>
        <rFont val="Calibri"/>
        <family val="2"/>
        <scheme val="minor"/>
      </rPr>
      <t>t</t>
    </r>
    <r>
      <rPr>
        <b/>
        <vertAlign val="subscript"/>
        <sz val="14"/>
        <color theme="1"/>
        <rFont val="Calibri"/>
        <family val="2"/>
        <scheme val="minor"/>
      </rPr>
      <t>park</t>
    </r>
    <r>
      <rPr>
        <b/>
        <sz val="14"/>
        <color theme="1"/>
        <rFont val="Calibri"/>
        <family val="2"/>
        <scheme val="minor"/>
      </rPr>
      <t xml:space="preserve"> (s)</t>
    </r>
  </si>
  <si>
    <r>
      <t>t</t>
    </r>
    <r>
      <rPr>
        <b/>
        <vertAlign val="subscript"/>
        <sz val="14"/>
        <color theme="1"/>
        <rFont val="Calibri"/>
        <family val="2"/>
        <scheme val="minor"/>
      </rPr>
      <t>park</t>
    </r>
    <r>
      <rPr>
        <b/>
        <sz val="14"/>
        <color theme="1"/>
        <rFont val="Calibri"/>
        <family val="2"/>
        <scheme val="minor"/>
      </rPr>
      <t xml:space="preserve"> (min)</t>
    </r>
  </si>
  <si>
    <r>
      <t>Sh</t>
    </r>
    <r>
      <rPr>
        <vertAlign val="subscript"/>
        <sz val="11"/>
        <color theme="1"/>
        <rFont val="Calibri"/>
        <family val="2"/>
        <scheme val="minor"/>
      </rPr>
      <t>part</t>
    </r>
  </si>
  <si>
    <t>Core to particle diameter ratio (fully porous = 0, non porous = 1, typical core shell ~= 0,6-0,7; Rho max = 0,999, else hcs column should be put to zero)</t>
  </si>
  <si>
    <r>
      <rPr>
        <sz val="11"/>
        <color theme="1"/>
        <rFont val="Symbol"/>
        <family val="1"/>
        <charset val="2"/>
      </rPr>
      <t>e</t>
    </r>
    <r>
      <rPr>
        <vertAlign val="subscript"/>
        <sz val="10.8"/>
        <color theme="1"/>
        <rFont val="Calibri"/>
        <family val="2"/>
      </rPr>
      <t>pz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</si>
</sst>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0E+00"/>
    <numFmt numFmtId="166" formatCode="0.000000"/>
    <numFmt numFmtId="167" formatCode="0.00000000E+00"/>
    <numFmt numFmtId="168" formatCode="0.00000"/>
    <numFmt numFmtId="169" formatCode="0.0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sz val="14"/>
      <color theme="1"/>
      <name val="Symbol"/>
      <family val="1"/>
      <charset val="2"/>
    </font>
    <font>
      <b/>
      <vertAlign val="subscript"/>
      <sz val="12"/>
      <color theme="1"/>
      <name val="Calibri"/>
      <family val="2"/>
      <scheme val="minor"/>
    </font>
    <font>
      <b/>
      <sz val="12"/>
      <color theme="1"/>
      <name val="Symbol"/>
      <family val="1"/>
      <charset val="2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b/>
      <sz val="12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0070C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vertAlign val="subscript"/>
      <sz val="14"/>
      <color rgb="FFC00000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b/>
      <vertAlign val="subscript"/>
      <sz val="14"/>
      <color theme="6" tint="-0.249977111117893"/>
      <name val="Calibri"/>
      <family val="2"/>
      <scheme val="minor"/>
    </font>
    <font>
      <sz val="9.35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vertAlign val="subscript"/>
      <sz val="14"/>
      <color theme="1"/>
      <name val="Calibri"/>
      <family val="2"/>
      <scheme val="minor"/>
    </font>
    <font>
      <sz val="14"/>
      <color theme="1"/>
      <name val="Symbol"/>
      <family val="1"/>
      <charset val="2"/>
    </font>
    <font>
      <vertAlign val="subscript"/>
      <sz val="10.8"/>
      <color theme="1"/>
      <name val="Calibri"/>
      <family val="2"/>
    </font>
    <font>
      <sz val="11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223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126">
    <xf numFmtId="0" fontId="0" fillId="0" borderId="0" xfId="0"/>
    <xf numFmtId="11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/>
    <xf numFmtId="11" fontId="0" fillId="2" borderId="0" xfId="0" applyNumberFormat="1" applyFill="1"/>
    <xf numFmtId="0" fontId="0" fillId="0" borderId="0" xfId="0" quotePrefix="1"/>
    <xf numFmtId="0" fontId="1" fillId="0" borderId="0" xfId="0" applyFont="1"/>
    <xf numFmtId="0" fontId="2" fillId="0" borderId="0" xfId="0" applyFont="1" applyAlignment="1">
      <alignment horizontal="center"/>
    </xf>
    <xf numFmtId="1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/>
    <xf numFmtId="11" fontId="0" fillId="2" borderId="0" xfId="0" applyNumberFormat="1" applyFill="1" applyAlignment="1">
      <alignment horizontal="center"/>
    </xf>
    <xf numFmtId="0" fontId="5" fillId="2" borderId="0" xfId="0" applyFont="1" applyFill="1"/>
    <xf numFmtId="0" fontId="0" fillId="3" borderId="0" xfId="0" applyFill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/>
    <xf numFmtId="0" fontId="0" fillId="4" borderId="2" xfId="0" applyFill="1" applyBorder="1"/>
    <xf numFmtId="0" fontId="0" fillId="4" borderId="0" xfId="0" applyFill="1" applyBorder="1"/>
    <xf numFmtId="11" fontId="0" fillId="4" borderId="0" xfId="0" applyNumberFormat="1" applyFill="1" applyBorder="1"/>
    <xf numFmtId="0" fontId="0" fillId="4" borderId="2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1" xfId="0" applyFill="1" applyBorder="1"/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0" fontId="0" fillId="5" borderId="4" xfId="0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2" fillId="6" borderId="0" xfId="0" applyFont="1" applyFill="1" applyBorder="1"/>
    <xf numFmtId="0" fontId="13" fillId="0" borderId="0" xfId="0" applyFont="1"/>
    <xf numFmtId="0" fontId="0" fillId="7" borderId="0" xfId="0" applyFill="1"/>
    <xf numFmtId="0" fontId="3" fillId="7" borderId="0" xfId="0" applyFont="1" applyFill="1"/>
    <xf numFmtId="11" fontId="3" fillId="7" borderId="0" xfId="0" applyNumberFormat="1" applyFont="1" applyFill="1"/>
    <xf numFmtId="11" fontId="3" fillId="4" borderId="0" xfId="0" applyNumberFormat="1" applyFont="1" applyFill="1"/>
    <xf numFmtId="167" fontId="0" fillId="0" borderId="0" xfId="0" applyNumberFormat="1"/>
    <xf numFmtId="0" fontId="2" fillId="0" borderId="0" xfId="0" applyFont="1"/>
    <xf numFmtId="0" fontId="2" fillId="3" borderId="0" xfId="0" applyFont="1" applyFill="1"/>
    <xf numFmtId="0" fontId="0" fillId="0" borderId="0" xfId="0" applyFill="1"/>
    <xf numFmtId="0" fontId="3" fillId="4" borderId="0" xfId="0" applyFont="1" applyFill="1"/>
    <xf numFmtId="0" fontId="0" fillId="4" borderId="0" xfId="0" applyFill="1"/>
    <xf numFmtId="2" fontId="0" fillId="2" borderId="4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68" fontId="0" fillId="3" borderId="0" xfId="0" applyNumberFormat="1" applyFill="1" applyBorder="1" applyAlignment="1">
      <alignment horizontal="center"/>
    </xf>
    <xf numFmtId="165" fontId="0" fillId="3" borderId="5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68" fontId="0" fillId="3" borderId="7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11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1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1" fontId="0" fillId="0" borderId="7" xfId="0" applyNumberFormat="1" applyBorder="1" applyAlignment="1">
      <alignment horizontal="center"/>
    </xf>
    <xf numFmtId="0" fontId="8" fillId="8" borderId="0" xfId="0" applyFont="1" applyFill="1" applyBorder="1"/>
    <xf numFmtId="0" fontId="0" fillId="8" borderId="0" xfId="0" applyFill="1"/>
    <xf numFmtId="0" fontId="6" fillId="0" borderId="0" xfId="0" applyFont="1"/>
    <xf numFmtId="0" fontId="1" fillId="0" borderId="0" xfId="0" quotePrefix="1" applyFont="1"/>
    <xf numFmtId="169" fontId="0" fillId="4" borderId="0" xfId="0" applyNumberFormat="1" applyFill="1" applyBorder="1"/>
    <xf numFmtId="1" fontId="19" fillId="0" borderId="0" xfId="1" applyNumberFormat="1" applyBorder="1"/>
    <xf numFmtId="2" fontId="19" fillId="0" borderId="0" xfId="1" applyNumberFormat="1" applyBorder="1"/>
    <xf numFmtId="0" fontId="2" fillId="8" borderId="9" xfId="0" applyFont="1" applyFill="1" applyBorder="1" applyAlignment="1">
      <alignment horizontal="center"/>
    </xf>
    <xf numFmtId="0" fontId="0" fillId="0" borderId="0" xfId="0" applyFont="1"/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2" borderId="0" xfId="0" applyFill="1" applyBorder="1"/>
    <xf numFmtId="166" fontId="0" fillId="0" borderId="4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19" fillId="0" borderId="0" xfId="1" applyBorder="1"/>
    <xf numFmtId="0" fontId="0" fillId="0" borderId="4" xfId="0" applyBorder="1"/>
    <xf numFmtId="0" fontId="8" fillId="5" borderId="4" xfId="0" applyFont="1" applyFill="1" applyBorder="1"/>
    <xf numFmtId="0" fontId="8" fillId="4" borderId="0" xfId="0" applyFont="1" applyFill="1" applyBorder="1"/>
    <xf numFmtId="0" fontId="0" fillId="0" borderId="0" xfId="0" applyFill="1" applyBorder="1"/>
    <xf numFmtId="164" fontId="0" fillId="2" borderId="0" xfId="0" applyNumberFormat="1" applyFill="1" applyAlignment="1">
      <alignment horizontal="center"/>
    </xf>
    <xf numFmtId="11" fontId="0" fillId="0" borderId="13" xfId="0" applyNumberFormat="1" applyBorder="1"/>
    <xf numFmtId="11" fontId="0" fillId="0" borderId="14" xfId="0" applyNumberFormat="1" applyBorder="1"/>
    <xf numFmtId="2" fontId="0" fillId="0" borderId="14" xfId="0" applyNumberFormat="1" applyBorder="1" applyAlignment="1">
      <alignment horizontal="center"/>
    </xf>
    <xf numFmtId="11" fontId="0" fillId="0" borderId="15" xfId="0" applyNumberFormat="1" applyBorder="1"/>
    <xf numFmtId="2" fontId="0" fillId="0" borderId="15" xfId="0" applyNumberFormat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8" fillId="4" borderId="2" xfId="0" applyFont="1" applyFill="1" applyBorder="1"/>
    <xf numFmtId="11" fontId="0" fillId="0" borderId="14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9" xfId="0" applyFont="1" applyBorder="1" applyAlignment="1">
      <alignment horizontal="center"/>
    </xf>
    <xf numFmtId="0" fontId="2" fillId="0" borderId="9" xfId="0" applyFont="1" applyBorder="1"/>
    <xf numFmtId="0" fontId="0" fillId="0" borderId="14" xfId="0" applyFill="1" applyBorder="1"/>
    <xf numFmtId="0" fontId="2" fillId="4" borderId="9" xfId="0" applyFont="1" applyFill="1" applyBorder="1" applyAlignment="1">
      <alignment horizontal="center"/>
    </xf>
    <xf numFmtId="0" fontId="0" fillId="6" borderId="0" xfId="0" applyFill="1"/>
    <xf numFmtId="0" fontId="2" fillId="0" borderId="0" xfId="0" applyFont="1" applyFill="1"/>
    <xf numFmtId="0" fontId="2" fillId="0" borderId="2" xfId="0" applyFont="1" applyFill="1" applyBorder="1" applyAlignment="1">
      <alignment horizontal="left"/>
    </xf>
    <xf numFmtId="0" fontId="0" fillId="0" borderId="0" xfId="0" quotePrefix="1" applyFill="1"/>
    <xf numFmtId="11" fontId="0" fillId="0" borderId="13" xfId="0" applyNumberFormat="1" applyBorder="1" applyAlignment="1">
      <alignment horizontal="center"/>
    </xf>
    <xf numFmtId="11" fontId="0" fillId="0" borderId="15" xfId="0" applyNumberFormat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1" fontId="0" fillId="4" borderId="0" xfId="0" applyNumberFormat="1" applyFill="1" applyBorder="1"/>
    <xf numFmtId="2" fontId="0" fillId="4" borderId="2" xfId="0" applyNumberFormat="1" applyFill="1" applyBorder="1"/>
    <xf numFmtId="2" fontId="0" fillId="4" borderId="0" xfId="0" applyNumberFormat="1" applyFill="1" applyBorder="1"/>
    <xf numFmtId="169" fontId="0" fillId="5" borderId="0" xfId="0" applyNumberFormat="1" applyFill="1" applyBorder="1"/>
    <xf numFmtId="169" fontId="0" fillId="5" borderId="2" xfId="0" applyNumberFormat="1" applyFill="1" applyBorder="1"/>
    <xf numFmtId="0" fontId="30" fillId="5" borderId="7" xfId="0" applyFont="1" applyFill="1" applyBorder="1"/>
    <xf numFmtId="0" fontId="0" fillId="5" borderId="7" xfId="0" applyFill="1" applyBorder="1"/>
    <xf numFmtId="0" fontId="0" fillId="5" borderId="7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D223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75085369934122"/>
          <c:y val="4.0063213740180417E-2"/>
          <c:w val="0.81206989036292754"/>
          <c:h val="0.80656092723343353"/>
        </c:manualLayout>
      </c:layout>
      <c:scatterChart>
        <c:scatterStyle val="lineMarker"/>
        <c:varyColors val="0"/>
        <c:ser>
          <c:idx val="0"/>
          <c:order val="0"/>
          <c:tx>
            <c:v>H</c:v>
          </c:tx>
          <c:spPr>
            <a:ln w="28575">
              <a:noFill/>
            </a:ln>
          </c:spPr>
          <c:xVal>
            <c:numRef>
              <c:f>'Main Sheet (t0,N or H,u0-data)'!$D$19:$D$43</c:f>
              <c:numCache>
                <c:formatCode>0.00000</c:formatCode>
                <c:ptCount val="25"/>
                <c:pt idx="0">
                  <c:v>1.0117375995672892E-4</c:v>
                </c:pt>
                <c:pt idx="1">
                  <c:v>2.0203984274188427E-4</c:v>
                </c:pt>
                <c:pt idx="2">
                  <c:v>4.0247912112727213E-4</c:v>
                </c:pt>
                <c:pt idx="3">
                  <c:v>6.0289612003388432E-4</c:v>
                </c:pt>
                <c:pt idx="4">
                  <c:v>8.0316115664201939E-4</c:v>
                </c:pt>
                <c:pt idx="5">
                  <c:v>1.005575042110131E-3</c:v>
                </c:pt>
                <c:pt idx="6">
                  <c:v>1.2009834613368195E-3</c:v>
                </c:pt>
                <c:pt idx="7">
                  <c:v>1.3985500206332745E-3</c:v>
                </c:pt>
                <c:pt idx="8">
                  <c:v>1.600048129447734E-3</c:v>
                </c:pt>
                <c:pt idx="9">
                  <c:v>1.7963719035937499E-3</c:v>
                </c:pt>
                <c:pt idx="10">
                  <c:v>1.9924303585816764E-3</c:v>
                </c:pt>
                <c:pt idx="11">
                  <c:v>1.7919828122565889E-3</c:v>
                </c:pt>
                <c:pt idx="12">
                  <c:v>1.987088692511537E-3</c:v>
                </c:pt>
                <c:pt idx="13">
                  <c:v>2.181912757818448E-3</c:v>
                </c:pt>
                <c:pt idx="14">
                  <c:v>2.3753006734769174E-3</c:v>
                </c:pt>
                <c:pt idx="15">
                  <c:v>2.5686928401625741E-3</c:v>
                </c:pt>
                <c:pt idx="16">
                  <c:v>2.7599307367782299E-3</c:v>
                </c:pt>
                <c:pt idx="17">
                  <c:v>2.9496738447307423E-3</c:v>
                </c:pt>
                <c:pt idx="18">
                  <c:v>3.1702909080072463E-3</c:v>
                </c:pt>
                <c:pt idx="19">
                  <c:v>3.4265773563544504E-3</c:v>
                </c:pt>
                <c:pt idx="20">
                  <c:v>3.4265773563544504E-3</c:v>
                </c:pt>
                <c:pt idx="21">
                  <c:v>3.4265773563544504E-3</c:v>
                </c:pt>
                <c:pt idx="22">
                  <c:v>3.4265773563544504E-3</c:v>
                </c:pt>
                <c:pt idx="23">
                  <c:v>3.4265773563544504E-3</c:v>
                </c:pt>
                <c:pt idx="24">
                  <c:v>3.4265773563544504E-3</c:v>
                </c:pt>
              </c:numCache>
            </c:numRef>
          </c:xVal>
          <c:yVal>
            <c:numRef>
              <c:f>'Main Sheet (t0,N or H,u0-data)'!$E$19:$E$43</c:f>
              <c:numCache>
                <c:formatCode>0.000E+00</c:formatCode>
                <c:ptCount val="25"/>
                <c:pt idx="0">
                  <c:v>7.1508024789448591E-5</c:v>
                </c:pt>
                <c:pt idx="1">
                  <c:v>3.9198606271777003E-5</c:v>
                </c:pt>
                <c:pt idx="2">
                  <c:v>2.2331397945511389E-5</c:v>
                </c:pt>
                <c:pt idx="3">
                  <c:v>1.6789165391933738E-5</c:v>
                </c:pt>
                <c:pt idx="4">
                  <c:v>1.4249976250039583E-5</c:v>
                </c:pt>
                <c:pt idx="5">
                  <c:v>1.2704686617730096E-5</c:v>
                </c:pt>
                <c:pt idx="6">
                  <c:v>1.1919898283534647E-5</c:v>
                </c:pt>
                <c:pt idx="7">
                  <c:v>1.1414077362079898E-5</c:v>
                </c:pt>
                <c:pt idx="8">
                  <c:v>1.0968386672191484E-5</c:v>
                </c:pt>
                <c:pt idx="9">
                  <c:v>1.108210609269566E-5</c:v>
                </c:pt>
                <c:pt idx="10">
                  <c:v>1.1182346801848814E-5</c:v>
                </c:pt>
                <c:pt idx="11">
                  <c:v>1.1001369059260708E-5</c:v>
                </c:pt>
                <c:pt idx="12">
                  <c:v>1.121132094274752E-5</c:v>
                </c:pt>
                <c:pt idx="13">
                  <c:v>1.1296031327660214E-5</c:v>
                </c:pt>
                <c:pt idx="14">
                  <c:v>1.141697323354053E-5</c:v>
                </c:pt>
                <c:pt idx="15">
                  <c:v>1.1628808434762384E-5</c:v>
                </c:pt>
                <c:pt idx="16">
                  <c:v>1.184522242695446E-5</c:v>
                </c:pt>
                <c:pt idx="17">
                  <c:v>1.1925900405480613E-5</c:v>
                </c:pt>
                <c:pt idx="18">
                  <c:v>1.2572641931157801E-5</c:v>
                </c:pt>
                <c:pt idx="19">
                  <c:v>1.3150588854145357E-5</c:v>
                </c:pt>
                <c:pt idx="20">
                  <c:v>1.3150588854145357E-5</c:v>
                </c:pt>
                <c:pt idx="21">
                  <c:v>1.3150588854145357E-5</c:v>
                </c:pt>
                <c:pt idx="22">
                  <c:v>1.3150588854145357E-5</c:v>
                </c:pt>
                <c:pt idx="23">
                  <c:v>1.3150588854145357E-5</c:v>
                </c:pt>
                <c:pt idx="24">
                  <c:v>1.3150588854145357E-5</c:v>
                </c:pt>
              </c:numCache>
            </c:numRef>
          </c:yVal>
          <c:smooth val="0"/>
        </c:ser>
        <c:ser>
          <c:idx val="1"/>
          <c:order val="1"/>
          <c:tx>
            <c:v>H-HB</c:v>
          </c:tx>
          <c:spPr>
            <a:ln w="28575">
              <a:noFill/>
            </a:ln>
          </c:spPr>
          <c:xVal>
            <c:numRef>
              <c:f>'Main Sheet (t0,N or H,u0-data)'!$D$19:$D$43</c:f>
              <c:numCache>
                <c:formatCode>0.00000</c:formatCode>
                <c:ptCount val="25"/>
                <c:pt idx="0">
                  <c:v>1.0117375995672892E-4</c:v>
                </c:pt>
                <c:pt idx="1">
                  <c:v>2.0203984274188427E-4</c:v>
                </c:pt>
                <c:pt idx="2">
                  <c:v>4.0247912112727213E-4</c:v>
                </c:pt>
                <c:pt idx="3">
                  <c:v>6.0289612003388432E-4</c:v>
                </c:pt>
                <c:pt idx="4">
                  <c:v>8.0316115664201939E-4</c:v>
                </c:pt>
                <c:pt idx="5">
                  <c:v>1.005575042110131E-3</c:v>
                </c:pt>
                <c:pt idx="6">
                  <c:v>1.2009834613368195E-3</c:v>
                </c:pt>
                <c:pt idx="7">
                  <c:v>1.3985500206332745E-3</c:v>
                </c:pt>
                <c:pt idx="8">
                  <c:v>1.600048129447734E-3</c:v>
                </c:pt>
                <c:pt idx="9">
                  <c:v>1.7963719035937499E-3</c:v>
                </c:pt>
                <c:pt idx="10">
                  <c:v>1.9924303585816764E-3</c:v>
                </c:pt>
                <c:pt idx="11">
                  <c:v>1.7919828122565889E-3</c:v>
                </c:pt>
                <c:pt idx="12">
                  <c:v>1.987088692511537E-3</c:v>
                </c:pt>
                <c:pt idx="13">
                  <c:v>2.181912757818448E-3</c:v>
                </c:pt>
                <c:pt idx="14">
                  <c:v>2.3753006734769174E-3</c:v>
                </c:pt>
                <c:pt idx="15">
                  <c:v>2.5686928401625741E-3</c:v>
                </c:pt>
                <c:pt idx="16">
                  <c:v>2.7599307367782299E-3</c:v>
                </c:pt>
                <c:pt idx="17">
                  <c:v>2.9496738447307423E-3</c:v>
                </c:pt>
                <c:pt idx="18">
                  <c:v>3.1702909080072463E-3</c:v>
                </c:pt>
                <c:pt idx="19">
                  <c:v>3.4265773563544504E-3</c:v>
                </c:pt>
                <c:pt idx="20">
                  <c:v>3.4265773563544504E-3</c:v>
                </c:pt>
                <c:pt idx="21">
                  <c:v>3.4265773563544504E-3</c:v>
                </c:pt>
                <c:pt idx="22">
                  <c:v>3.4265773563544504E-3</c:v>
                </c:pt>
                <c:pt idx="23">
                  <c:v>3.4265773563544504E-3</c:v>
                </c:pt>
                <c:pt idx="24">
                  <c:v>3.4265773563544504E-3</c:v>
                </c:pt>
              </c:numCache>
            </c:numRef>
          </c:xVal>
          <c:yVal>
            <c:numRef>
              <c:f>'Main Sheet (t0,N or H,u0-data)'!$AI$19:$AI$43</c:f>
              <c:numCache>
                <c:formatCode>0.00E+00</c:formatCode>
                <c:ptCount val="25"/>
                <c:pt idx="0">
                  <c:v>7.1508024789438481E-8</c:v>
                </c:pt>
                <c:pt idx="1">
                  <c:v>3.4259541987601417E-6</c:v>
                </c:pt>
                <c:pt idx="2">
                  <c:v>4.373942217001727E-6</c:v>
                </c:pt>
                <c:pt idx="3">
                  <c:v>4.801194729780095E-6</c:v>
                </c:pt>
                <c:pt idx="4">
                  <c:v>5.251158342173716E-6</c:v>
                </c:pt>
                <c:pt idx="5">
                  <c:v>5.5172558476445075E-6</c:v>
                </c:pt>
                <c:pt idx="6">
                  <c:v>5.901912830806175E-6</c:v>
                </c:pt>
                <c:pt idx="7">
                  <c:v>6.2462243052262027E-6</c:v>
                </c:pt>
                <c:pt idx="8">
                  <c:v>6.4513344246524795E-6</c:v>
                </c:pt>
                <c:pt idx="9">
                  <c:v>7.0587181824119282E-6</c:v>
                </c:pt>
                <c:pt idx="10">
                  <c:v>7.5548669413043242E-6</c:v>
                </c:pt>
                <c:pt idx="11">
                  <c:v>6.9681266922811405E-6</c:v>
                </c:pt>
                <c:pt idx="12">
                  <c:v>7.5740897378547854E-6</c:v>
                </c:pt>
                <c:pt idx="13">
                  <c:v>7.9835702893376868E-6</c:v>
                </c:pt>
                <c:pt idx="14">
                  <c:v>8.3742001311724E-6</c:v>
                </c:pt>
                <c:pt idx="15">
                  <c:v>8.8151201314014284E-6</c:v>
                </c:pt>
                <c:pt idx="16">
                  <c:v>9.2264969267162195E-6</c:v>
                </c:pt>
                <c:pt idx="17">
                  <c:v>9.4756291620332817E-6</c:v>
                </c:pt>
                <c:pt idx="18">
                  <c:v>1.0292882373119177E-5</c:v>
                </c:pt>
                <c:pt idx="19">
                  <c:v>1.1041340981515442E-5</c:v>
                </c:pt>
                <c:pt idx="20">
                  <c:v>1.1041340981515442E-5</c:v>
                </c:pt>
                <c:pt idx="21">
                  <c:v>1.1041340981515442E-5</c:v>
                </c:pt>
                <c:pt idx="22">
                  <c:v>1.1041340981515442E-5</c:v>
                </c:pt>
                <c:pt idx="23">
                  <c:v>1.1041340981515442E-5</c:v>
                </c:pt>
                <c:pt idx="24">
                  <c:v>1.1041340981515442E-5</c:v>
                </c:pt>
              </c:numCache>
            </c:numRef>
          </c:yVal>
          <c:smooth val="0"/>
        </c:ser>
        <c:ser>
          <c:idx val="2"/>
          <c:order val="2"/>
          <c:tx>
            <c:v>H-HB-HCs</c:v>
          </c:tx>
          <c:spPr>
            <a:ln w="28575">
              <a:noFill/>
            </a:ln>
          </c:spPr>
          <c:xVal>
            <c:numRef>
              <c:f>'Main Sheet (t0,N or H,u0-data)'!$D$19:$D$43</c:f>
              <c:numCache>
                <c:formatCode>0.00000</c:formatCode>
                <c:ptCount val="25"/>
                <c:pt idx="0">
                  <c:v>1.0117375995672892E-4</c:v>
                </c:pt>
                <c:pt idx="1">
                  <c:v>2.0203984274188427E-4</c:v>
                </c:pt>
                <c:pt idx="2">
                  <c:v>4.0247912112727213E-4</c:v>
                </c:pt>
                <c:pt idx="3">
                  <c:v>6.0289612003388432E-4</c:v>
                </c:pt>
                <c:pt idx="4">
                  <c:v>8.0316115664201939E-4</c:v>
                </c:pt>
                <c:pt idx="5">
                  <c:v>1.005575042110131E-3</c:v>
                </c:pt>
                <c:pt idx="6">
                  <c:v>1.2009834613368195E-3</c:v>
                </c:pt>
                <c:pt idx="7">
                  <c:v>1.3985500206332745E-3</c:v>
                </c:pt>
                <c:pt idx="8">
                  <c:v>1.600048129447734E-3</c:v>
                </c:pt>
                <c:pt idx="9">
                  <c:v>1.7963719035937499E-3</c:v>
                </c:pt>
                <c:pt idx="10">
                  <c:v>1.9924303585816764E-3</c:v>
                </c:pt>
                <c:pt idx="11">
                  <c:v>1.7919828122565889E-3</c:v>
                </c:pt>
                <c:pt idx="12">
                  <c:v>1.987088692511537E-3</c:v>
                </c:pt>
                <c:pt idx="13">
                  <c:v>2.181912757818448E-3</c:v>
                </c:pt>
                <c:pt idx="14">
                  <c:v>2.3753006734769174E-3</c:v>
                </c:pt>
                <c:pt idx="15">
                  <c:v>2.5686928401625741E-3</c:v>
                </c:pt>
                <c:pt idx="16">
                  <c:v>2.7599307367782299E-3</c:v>
                </c:pt>
                <c:pt idx="17">
                  <c:v>2.9496738447307423E-3</c:v>
                </c:pt>
                <c:pt idx="18">
                  <c:v>3.1702909080072463E-3</c:v>
                </c:pt>
                <c:pt idx="19">
                  <c:v>3.4265773563544504E-3</c:v>
                </c:pt>
                <c:pt idx="20">
                  <c:v>3.4265773563544504E-3</c:v>
                </c:pt>
                <c:pt idx="21">
                  <c:v>3.4265773563544504E-3</c:v>
                </c:pt>
                <c:pt idx="22">
                  <c:v>3.4265773563544504E-3</c:v>
                </c:pt>
                <c:pt idx="23">
                  <c:v>3.4265773563544504E-3</c:v>
                </c:pt>
                <c:pt idx="24">
                  <c:v>3.4265773563544504E-3</c:v>
                </c:pt>
              </c:numCache>
            </c:numRef>
          </c:xVal>
          <c:yVal>
            <c:numRef>
              <c:f>'Main Sheet (t0,N or H,u0-data)'!$AK$19:$AK$43</c:f>
              <c:numCache>
                <c:formatCode>0.00E+00</c:formatCode>
                <c:ptCount val="25"/>
                <c:pt idx="0">
                  <c:v>4.9312684849097231E-8</c:v>
                </c:pt>
                <c:pt idx="1">
                  <c:v>3.3816310166122496E-6</c:v>
                </c:pt>
                <c:pt idx="2">
                  <c:v>4.2856469819908881E-6</c:v>
                </c:pt>
                <c:pt idx="3">
                  <c:v>4.6689323295432354E-6</c:v>
                </c:pt>
                <c:pt idx="4">
                  <c:v>5.0749621139602794E-6</c:v>
                </c:pt>
                <c:pt idx="5">
                  <c:v>5.2966543803796458E-6</c:v>
                </c:pt>
                <c:pt idx="6">
                  <c:v>5.6384429726285303E-6</c:v>
                </c:pt>
                <c:pt idx="7">
                  <c:v>5.9394126067699737E-6</c:v>
                </c:pt>
                <c:pt idx="8">
                  <c:v>6.1003183887832142E-6</c:v>
                </c:pt>
                <c:pt idx="9">
                  <c:v>6.6646329465109036E-6</c:v>
                </c:pt>
                <c:pt idx="10">
                  <c:v>7.1177707106701171E-6</c:v>
                </c:pt>
                <c:pt idx="11">
                  <c:v>6.5750043283174554E-6</c:v>
                </c:pt>
                <c:pt idx="12">
                  <c:v>7.1381653535009299E-6</c:v>
                </c:pt>
                <c:pt idx="13">
                  <c:v>7.504905708712629E-6</c:v>
                </c:pt>
                <c:pt idx="14">
                  <c:v>7.8531104145216615E-6</c:v>
                </c:pt>
                <c:pt idx="15">
                  <c:v>8.2516043461413675E-6</c:v>
                </c:pt>
                <c:pt idx="16">
                  <c:v>8.6210276732181915E-6</c:v>
                </c:pt>
                <c:pt idx="17">
                  <c:v>8.8285343646773993E-6</c:v>
                </c:pt>
                <c:pt idx="18">
                  <c:v>9.5973889522649099E-6</c:v>
                </c:pt>
                <c:pt idx="19">
                  <c:v>1.0289623843705297E-5</c:v>
                </c:pt>
                <c:pt idx="20">
                  <c:v>1.0289623843705297E-5</c:v>
                </c:pt>
                <c:pt idx="21">
                  <c:v>1.0289623843705297E-5</c:v>
                </c:pt>
                <c:pt idx="22">
                  <c:v>1.0289623843705297E-5</c:v>
                </c:pt>
                <c:pt idx="23">
                  <c:v>1.0289623843705297E-5</c:v>
                </c:pt>
                <c:pt idx="24">
                  <c:v>1.0289623843705297E-5</c:v>
                </c:pt>
              </c:numCache>
            </c:numRef>
          </c:yVal>
          <c:smooth val="0"/>
        </c:ser>
        <c:ser>
          <c:idx val="3"/>
          <c:order val="3"/>
          <c:tx>
            <c:v>Ha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</c:spPr>
          </c:marker>
          <c:xVal>
            <c:numRef>
              <c:f>'Main Sheet (t0,N or H,u0-data)'!$D$19:$D$43</c:f>
              <c:numCache>
                <c:formatCode>0.00000</c:formatCode>
                <c:ptCount val="25"/>
                <c:pt idx="0">
                  <c:v>1.0117375995672892E-4</c:v>
                </c:pt>
                <c:pt idx="1">
                  <c:v>2.0203984274188427E-4</c:v>
                </c:pt>
                <c:pt idx="2">
                  <c:v>4.0247912112727213E-4</c:v>
                </c:pt>
                <c:pt idx="3">
                  <c:v>6.0289612003388432E-4</c:v>
                </c:pt>
                <c:pt idx="4">
                  <c:v>8.0316115664201939E-4</c:v>
                </c:pt>
                <c:pt idx="5">
                  <c:v>1.005575042110131E-3</c:v>
                </c:pt>
                <c:pt idx="6">
                  <c:v>1.2009834613368195E-3</c:v>
                </c:pt>
                <c:pt idx="7">
                  <c:v>1.3985500206332745E-3</c:v>
                </c:pt>
                <c:pt idx="8">
                  <c:v>1.600048129447734E-3</c:v>
                </c:pt>
                <c:pt idx="9">
                  <c:v>1.7963719035937499E-3</c:v>
                </c:pt>
                <c:pt idx="10">
                  <c:v>1.9924303585816764E-3</c:v>
                </c:pt>
                <c:pt idx="11">
                  <c:v>1.7919828122565889E-3</c:v>
                </c:pt>
                <c:pt idx="12">
                  <c:v>1.987088692511537E-3</c:v>
                </c:pt>
                <c:pt idx="13">
                  <c:v>2.181912757818448E-3</c:v>
                </c:pt>
                <c:pt idx="14">
                  <c:v>2.3753006734769174E-3</c:v>
                </c:pt>
                <c:pt idx="15">
                  <c:v>2.5686928401625741E-3</c:v>
                </c:pt>
                <c:pt idx="16">
                  <c:v>2.7599307367782299E-3</c:v>
                </c:pt>
                <c:pt idx="17">
                  <c:v>2.9496738447307423E-3</c:v>
                </c:pt>
                <c:pt idx="18">
                  <c:v>3.1702909080072463E-3</c:v>
                </c:pt>
                <c:pt idx="19">
                  <c:v>3.4265773563544504E-3</c:v>
                </c:pt>
                <c:pt idx="20">
                  <c:v>3.4265773563544504E-3</c:v>
                </c:pt>
                <c:pt idx="21">
                  <c:v>3.4265773563544504E-3</c:v>
                </c:pt>
                <c:pt idx="22">
                  <c:v>3.4265773563544504E-3</c:v>
                </c:pt>
                <c:pt idx="23">
                  <c:v>3.4265773563544504E-3</c:v>
                </c:pt>
                <c:pt idx="24">
                  <c:v>3.4265773563544504E-3</c:v>
                </c:pt>
              </c:numCache>
            </c:numRef>
          </c:xVal>
          <c:yVal>
            <c:numRef>
              <c:f>'Main Sheet (t0,N or H,u0-data)'!$AN$19:$AN$43</c:f>
              <c:numCache>
                <c:formatCode>0.00E+00</c:formatCode>
                <c:ptCount val="25"/>
                <c:pt idx="0">
                  <c:v>1.2587274890793833E-8</c:v>
                </c:pt>
                <c:pt idx="1">
                  <c:v>3.3034501262574844E-6</c:v>
                </c:pt>
                <c:pt idx="2">
                  <c:v>4.1283593596592235E-6</c:v>
                </c:pt>
                <c:pt idx="3">
                  <c:v>4.4386930655037941E-6</c:v>
                </c:pt>
                <c:pt idx="4">
                  <c:v>4.7766153060807074E-6</c:v>
                </c:pt>
                <c:pt idx="5">
                  <c:v>4.9331299486715701E-6</c:v>
                </c:pt>
                <c:pt idx="6">
                  <c:v>5.2147185617263588E-6</c:v>
                </c:pt>
                <c:pt idx="7">
                  <c:v>5.4570176057647706E-6</c:v>
                </c:pt>
                <c:pt idx="8">
                  <c:v>5.5599723562112875E-6</c:v>
                </c:pt>
                <c:pt idx="9">
                  <c:v>6.0693795896161862E-6</c:v>
                </c:pt>
                <c:pt idx="10">
                  <c:v>6.469008618655977E-6</c:v>
                </c:pt>
                <c:pt idx="11">
                  <c:v>5.9809633244666833E-6</c:v>
                </c:pt>
                <c:pt idx="12">
                  <c:v>6.4908450688895525E-6</c:v>
                </c:pt>
                <c:pt idx="13">
                  <c:v>6.805535521154796E-6</c:v>
                </c:pt>
                <c:pt idx="14">
                  <c:v>7.1030868252853465E-6</c:v>
                </c:pt>
                <c:pt idx="15">
                  <c:v>7.4518328418451529E-6</c:v>
                </c:pt>
                <c:pt idx="16">
                  <c:v>7.7728705818907971E-6</c:v>
                </c:pt>
                <c:pt idx="17">
                  <c:v>7.9330954144453437E-6</c:v>
                </c:pt>
                <c:pt idx="18">
                  <c:v>8.647806745247685E-6</c:v>
                </c:pt>
                <c:pt idx="19">
                  <c:v>9.2781704774204933E-6</c:v>
                </c:pt>
                <c:pt idx="20">
                  <c:v>9.2781704774204933E-6</c:v>
                </c:pt>
                <c:pt idx="21">
                  <c:v>9.2781704774204933E-6</c:v>
                </c:pt>
                <c:pt idx="22">
                  <c:v>9.2781704774204933E-6</c:v>
                </c:pt>
                <c:pt idx="23">
                  <c:v>9.2781704774204933E-6</c:v>
                </c:pt>
                <c:pt idx="24">
                  <c:v>9.2781704774204933E-6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4624192"/>
        <c:axId val="754624768"/>
      </c:scatterChart>
      <c:valAx>
        <c:axId val="754624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nl-BE" sz="1400"/>
                  <a:t>u0 (m/s)</a:t>
                </a:r>
              </a:p>
            </c:rich>
          </c:tx>
          <c:layout>
            <c:manualLayout>
              <c:xMode val="edge"/>
              <c:yMode val="edge"/>
              <c:x val="0.77108214743625669"/>
              <c:y val="0.91158969742154217"/>
            </c:manualLayout>
          </c:layout>
          <c:overlay val="0"/>
        </c:title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754624768"/>
        <c:crosses val="autoZero"/>
        <c:crossBetween val="midCat"/>
        <c:majorUnit val="1.0000000000000005E-3"/>
      </c:valAx>
      <c:valAx>
        <c:axId val="754624768"/>
        <c:scaling>
          <c:orientation val="minMax"/>
          <c:max val="2.0000000000000019E-5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nl-BE" sz="1400"/>
                  <a:t>H (m)</a:t>
                </a:r>
              </a:p>
            </c:rich>
          </c:tx>
          <c:layout>
            <c:manualLayout>
              <c:xMode val="edge"/>
              <c:yMode val="edge"/>
              <c:x val="2.5946755183743966E-3"/>
              <c:y val="6.4339136547831327E-2"/>
            </c:manualLayout>
          </c:layout>
          <c:overlay val="0"/>
        </c:title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7546241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003923085836895"/>
          <c:y val="0.5539020307419521"/>
          <c:w val="0.27002148731267589"/>
          <c:h val="0.29158914160847504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630177098250956E-2"/>
          <c:y val="4.0063213740180417E-2"/>
          <c:w val="0.85564405569642621"/>
          <c:h val="0.80506331980283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'Main Sheet (t0,N or H,u0-data)'!$I$18</c:f>
              <c:strCache>
                <c:ptCount val="1"/>
                <c:pt idx="0">
                  <c:v>h </c:v>
                </c:pt>
              </c:strCache>
            </c:strRef>
          </c:tx>
          <c:spPr>
            <a:ln w="28575">
              <a:noFill/>
            </a:ln>
          </c:spPr>
          <c:xVal>
            <c:numRef>
              <c:f>'Main Sheet (t0,N or H,u0-data)'!$H$19:$H$43</c:f>
              <c:numCache>
                <c:formatCode>0.0</c:formatCode>
                <c:ptCount val="25"/>
                <c:pt idx="0">
                  <c:v>0.61065765304640829</c:v>
                </c:pt>
                <c:pt idx="1">
                  <c:v>1.2194582492870853</c:v>
                </c:pt>
                <c:pt idx="2">
                  <c:v>2.4292559218208125</c:v>
                </c:pt>
                <c:pt idx="3">
                  <c:v>3.6389191214020058</c:v>
                </c:pt>
                <c:pt idx="4">
                  <c:v>4.8476651173468097</c:v>
                </c:pt>
                <c:pt idx="5">
                  <c:v>6.0693809881103995</c:v>
                </c:pt>
                <c:pt idx="6">
                  <c:v>7.2488137453936483</c:v>
                </c:pt>
                <c:pt idx="7">
                  <c:v>8.4412724567435689</c:v>
                </c:pt>
                <c:pt idx="8">
                  <c:v>9.6574609454836668</c:v>
                </c:pt>
                <c:pt idx="9">
                  <c:v>10.842418539315247</c:v>
                </c:pt>
                <c:pt idx="10">
                  <c:v>12.025774737938656</c:v>
                </c:pt>
                <c:pt idx="11">
                  <c:v>10.815927162340591</c:v>
                </c:pt>
                <c:pt idx="12">
                  <c:v>11.993533875612851</c:v>
                </c:pt>
                <c:pt idx="13">
                  <c:v>13.169439629517434</c:v>
                </c:pt>
                <c:pt idx="14">
                  <c:v>14.336677169706167</c:v>
                </c:pt>
                <c:pt idx="15">
                  <c:v>15.503940367953732</c:v>
                </c:pt>
                <c:pt idx="16">
                  <c:v>16.658200970414232</c:v>
                </c:pt>
                <c:pt idx="17">
                  <c:v>17.803439429808925</c:v>
                </c:pt>
                <c:pt idx="18">
                  <c:v>19.135024794828865</c:v>
                </c:pt>
                <c:pt idx="19">
                  <c:v>20.681900991999342</c:v>
                </c:pt>
                <c:pt idx="20">
                  <c:v>20.681900991999342</c:v>
                </c:pt>
                <c:pt idx="21">
                  <c:v>20.681900991999342</c:v>
                </c:pt>
                <c:pt idx="22">
                  <c:v>20.681900991999342</c:v>
                </c:pt>
                <c:pt idx="23">
                  <c:v>20.681900991999342</c:v>
                </c:pt>
                <c:pt idx="24">
                  <c:v>20.681900991999342</c:v>
                </c:pt>
              </c:numCache>
            </c:numRef>
          </c:xVal>
          <c:yVal>
            <c:numRef>
              <c:f>'Main Sheet (t0,N or H,u0-data)'!$I$19:$I$43</c:f>
              <c:numCache>
                <c:formatCode>0.00</c:formatCode>
                <c:ptCount val="25"/>
                <c:pt idx="0">
                  <c:v>14.301604957889717</c:v>
                </c:pt>
                <c:pt idx="1">
                  <c:v>7.8397212543553998</c:v>
                </c:pt>
                <c:pt idx="2">
                  <c:v>4.4662795891022773</c:v>
                </c:pt>
                <c:pt idx="3">
                  <c:v>3.3578330783867472</c:v>
                </c:pt>
                <c:pt idx="4">
                  <c:v>2.8499952500079164</c:v>
                </c:pt>
                <c:pt idx="5">
                  <c:v>2.5409373235460189</c:v>
                </c:pt>
                <c:pt idx="6">
                  <c:v>2.3839796567069294</c:v>
                </c:pt>
                <c:pt idx="7">
                  <c:v>2.2828154724159795</c:v>
                </c:pt>
                <c:pt idx="8">
                  <c:v>2.1936773344382967</c:v>
                </c:pt>
                <c:pt idx="9">
                  <c:v>2.2164212185391321</c:v>
                </c:pt>
                <c:pt idx="10">
                  <c:v>2.2364693603697625</c:v>
                </c:pt>
                <c:pt idx="11">
                  <c:v>2.2002738118521417</c:v>
                </c:pt>
                <c:pt idx="12">
                  <c:v>2.2422641885495036</c:v>
                </c:pt>
                <c:pt idx="13">
                  <c:v>2.2592062655320428</c:v>
                </c:pt>
                <c:pt idx="14">
                  <c:v>2.2833946467081057</c:v>
                </c:pt>
                <c:pt idx="15">
                  <c:v>2.3257616869524766</c:v>
                </c:pt>
                <c:pt idx="16">
                  <c:v>2.3690444853908916</c:v>
                </c:pt>
                <c:pt idx="17">
                  <c:v>2.3851800810961223</c:v>
                </c:pt>
                <c:pt idx="18">
                  <c:v>2.5145283862315599</c:v>
                </c:pt>
                <c:pt idx="19">
                  <c:v>2.6301177708290711</c:v>
                </c:pt>
                <c:pt idx="20">
                  <c:v>2.6301177708290711</c:v>
                </c:pt>
                <c:pt idx="21">
                  <c:v>2.6301177708290711</c:v>
                </c:pt>
                <c:pt idx="22">
                  <c:v>2.6301177708290711</c:v>
                </c:pt>
                <c:pt idx="23">
                  <c:v>2.6301177708290711</c:v>
                </c:pt>
                <c:pt idx="24">
                  <c:v>2.6301177708290711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'Main Sheet (t0,N or H,u0-data)'!$J$18</c:f>
              <c:strCache>
                <c:ptCount val="1"/>
                <c:pt idx="0">
                  <c:v>hB</c:v>
                </c:pt>
              </c:strCache>
            </c:strRef>
          </c:tx>
          <c:spPr>
            <a:ln w="28575">
              <a:noFill/>
            </a:ln>
          </c:spPr>
          <c:xVal>
            <c:numRef>
              <c:f>'Main Sheet (t0,N or H,u0-data)'!$H$19:$H$43</c:f>
              <c:numCache>
                <c:formatCode>0.0</c:formatCode>
                <c:ptCount val="25"/>
                <c:pt idx="0">
                  <c:v>0.61065765304640829</c:v>
                </c:pt>
                <c:pt idx="1">
                  <c:v>1.2194582492870853</c:v>
                </c:pt>
                <c:pt idx="2">
                  <c:v>2.4292559218208125</c:v>
                </c:pt>
                <c:pt idx="3">
                  <c:v>3.6389191214020058</c:v>
                </c:pt>
                <c:pt idx="4">
                  <c:v>4.8476651173468097</c:v>
                </c:pt>
                <c:pt idx="5">
                  <c:v>6.0693809881103995</c:v>
                </c:pt>
                <c:pt idx="6">
                  <c:v>7.2488137453936483</c:v>
                </c:pt>
                <c:pt idx="7">
                  <c:v>8.4412724567435689</c:v>
                </c:pt>
                <c:pt idx="8">
                  <c:v>9.6574609454836668</c:v>
                </c:pt>
                <c:pt idx="9">
                  <c:v>10.842418539315247</c:v>
                </c:pt>
                <c:pt idx="10">
                  <c:v>12.025774737938656</c:v>
                </c:pt>
                <c:pt idx="11">
                  <c:v>10.815927162340591</c:v>
                </c:pt>
                <c:pt idx="12">
                  <c:v>11.993533875612851</c:v>
                </c:pt>
                <c:pt idx="13">
                  <c:v>13.169439629517434</c:v>
                </c:pt>
                <c:pt idx="14">
                  <c:v>14.336677169706167</c:v>
                </c:pt>
                <c:pt idx="15">
                  <c:v>15.503940367953732</c:v>
                </c:pt>
                <c:pt idx="16">
                  <c:v>16.658200970414232</c:v>
                </c:pt>
                <c:pt idx="17">
                  <c:v>17.803439429808925</c:v>
                </c:pt>
                <c:pt idx="18">
                  <c:v>19.135024794828865</c:v>
                </c:pt>
                <c:pt idx="19">
                  <c:v>20.681900991999342</c:v>
                </c:pt>
                <c:pt idx="20">
                  <c:v>20.681900991999342</c:v>
                </c:pt>
                <c:pt idx="21">
                  <c:v>20.681900991999342</c:v>
                </c:pt>
                <c:pt idx="22">
                  <c:v>20.681900991999342</c:v>
                </c:pt>
                <c:pt idx="23">
                  <c:v>20.681900991999342</c:v>
                </c:pt>
                <c:pt idx="24">
                  <c:v>20.681900991999342</c:v>
                </c:pt>
              </c:numCache>
            </c:numRef>
          </c:xVal>
          <c:yVal>
            <c:numRef>
              <c:f>'Main Sheet (t0,N or H,u0-data)'!$J$19:$J$43</c:f>
              <c:numCache>
                <c:formatCode>0.00E+00</c:formatCode>
                <c:ptCount val="25"/>
                <c:pt idx="0">
                  <c:v>14.287303352931829</c:v>
                </c:pt>
                <c:pt idx="1">
                  <c:v>7.1545304146033715</c:v>
                </c:pt>
                <c:pt idx="2">
                  <c:v>3.5914911457019323</c:v>
                </c:pt>
                <c:pt idx="3">
                  <c:v>2.3975941324307284</c:v>
                </c:pt>
                <c:pt idx="4">
                  <c:v>1.7997635815731732</c:v>
                </c:pt>
                <c:pt idx="5">
                  <c:v>1.4374861540171175</c:v>
                </c:pt>
                <c:pt idx="6">
                  <c:v>1.2035970905456943</c:v>
                </c:pt>
                <c:pt idx="7">
                  <c:v>1.033570611370739</c:v>
                </c:pt>
                <c:pt idx="8">
                  <c:v>0.90341044950780092</c:v>
                </c:pt>
                <c:pt idx="9">
                  <c:v>0.80467758205674633</c:v>
                </c:pt>
                <c:pt idx="10">
                  <c:v>0.72549597210889782</c:v>
                </c:pt>
                <c:pt idx="11">
                  <c:v>0.8066484733959135</c:v>
                </c:pt>
                <c:pt idx="12">
                  <c:v>0.72744624097854693</c:v>
                </c:pt>
                <c:pt idx="13">
                  <c:v>0.66249220766450556</c:v>
                </c:pt>
                <c:pt idx="14">
                  <c:v>0.60855462047362585</c:v>
                </c:pt>
                <c:pt idx="15">
                  <c:v>0.562737660672191</c:v>
                </c:pt>
                <c:pt idx="16">
                  <c:v>0.52374510004764818</c:v>
                </c:pt>
                <c:pt idx="17">
                  <c:v>0.49005424868946629</c:v>
                </c:pt>
                <c:pt idx="18">
                  <c:v>0.45595191160772469</c:v>
                </c:pt>
                <c:pt idx="19">
                  <c:v>0.42184957452598326</c:v>
                </c:pt>
                <c:pt idx="20">
                  <c:v>0.42184957452598326</c:v>
                </c:pt>
                <c:pt idx="21">
                  <c:v>0.42184957452598326</c:v>
                </c:pt>
                <c:pt idx="22">
                  <c:v>0.42184957452598326</c:v>
                </c:pt>
                <c:pt idx="23">
                  <c:v>0.42184957452598326</c:v>
                </c:pt>
                <c:pt idx="24">
                  <c:v>0.42184957452598326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'Main Sheet (t0,N or H,u0-data)'!$K$18</c:f>
              <c:strCache>
                <c:ptCount val="1"/>
                <c:pt idx="0">
                  <c:v>hCs</c:v>
                </c:pt>
              </c:strCache>
            </c:strRef>
          </c:tx>
          <c:spPr>
            <a:ln w="28575">
              <a:noFill/>
            </a:ln>
          </c:spPr>
          <c:xVal>
            <c:numRef>
              <c:f>'Main Sheet (t0,N or H,u0-data)'!$H$19:$H$43</c:f>
              <c:numCache>
                <c:formatCode>0.0</c:formatCode>
                <c:ptCount val="25"/>
                <c:pt idx="0">
                  <c:v>0.61065765304640829</c:v>
                </c:pt>
                <c:pt idx="1">
                  <c:v>1.2194582492870853</c:v>
                </c:pt>
                <c:pt idx="2">
                  <c:v>2.4292559218208125</c:v>
                </c:pt>
                <c:pt idx="3">
                  <c:v>3.6389191214020058</c:v>
                </c:pt>
                <c:pt idx="4">
                  <c:v>4.8476651173468097</c:v>
                </c:pt>
                <c:pt idx="5">
                  <c:v>6.0693809881103995</c:v>
                </c:pt>
                <c:pt idx="6">
                  <c:v>7.2488137453936483</c:v>
                </c:pt>
                <c:pt idx="7">
                  <c:v>8.4412724567435689</c:v>
                </c:pt>
                <c:pt idx="8">
                  <c:v>9.6574609454836668</c:v>
                </c:pt>
                <c:pt idx="9">
                  <c:v>10.842418539315247</c:v>
                </c:pt>
                <c:pt idx="10">
                  <c:v>12.025774737938656</c:v>
                </c:pt>
                <c:pt idx="11">
                  <c:v>10.815927162340591</c:v>
                </c:pt>
                <c:pt idx="12">
                  <c:v>11.993533875612851</c:v>
                </c:pt>
                <c:pt idx="13">
                  <c:v>13.169439629517434</c:v>
                </c:pt>
                <c:pt idx="14">
                  <c:v>14.336677169706167</c:v>
                </c:pt>
                <c:pt idx="15">
                  <c:v>15.503940367953732</c:v>
                </c:pt>
                <c:pt idx="16">
                  <c:v>16.658200970414232</c:v>
                </c:pt>
                <c:pt idx="17">
                  <c:v>17.803439429808925</c:v>
                </c:pt>
                <c:pt idx="18">
                  <c:v>19.135024794828865</c:v>
                </c:pt>
                <c:pt idx="19">
                  <c:v>20.681900991999342</c:v>
                </c:pt>
                <c:pt idx="20">
                  <c:v>20.681900991999342</c:v>
                </c:pt>
                <c:pt idx="21">
                  <c:v>20.681900991999342</c:v>
                </c:pt>
                <c:pt idx="22">
                  <c:v>20.681900991999342</c:v>
                </c:pt>
                <c:pt idx="23">
                  <c:v>20.681900991999342</c:v>
                </c:pt>
                <c:pt idx="24">
                  <c:v>20.681900991999342</c:v>
                </c:pt>
              </c:numCache>
            </c:numRef>
          </c:xVal>
          <c:yVal>
            <c:numRef>
              <c:f>'Main Sheet (t0,N or H,u0-data)'!$K$19:$K$43</c:f>
              <c:numCache>
                <c:formatCode>0.00E+00</c:formatCode>
                <c:ptCount val="25"/>
                <c:pt idx="0">
                  <c:v>4.4390679880682493E-3</c:v>
                </c:pt>
                <c:pt idx="1">
                  <c:v>8.8646364295784218E-3</c:v>
                </c:pt>
                <c:pt idx="2">
                  <c:v>1.7659047002167787E-2</c:v>
                </c:pt>
                <c:pt idx="3">
                  <c:v>2.6452480047371923E-2</c:v>
                </c:pt>
                <c:pt idx="4">
                  <c:v>3.5239245642687371E-2</c:v>
                </c:pt>
                <c:pt idx="5">
                  <c:v>4.4120293452972359E-2</c:v>
                </c:pt>
                <c:pt idx="6">
                  <c:v>5.2693971635528851E-2</c:v>
                </c:pt>
                <c:pt idx="7">
                  <c:v>6.1362339691245764E-2</c:v>
                </c:pt>
                <c:pt idx="8">
                  <c:v>7.0203207173853047E-2</c:v>
                </c:pt>
                <c:pt idx="9">
                  <c:v>7.8817047180204991E-2</c:v>
                </c:pt>
                <c:pt idx="10">
                  <c:v>8.7419246126841474E-2</c:v>
                </c:pt>
                <c:pt idx="11">
                  <c:v>7.862447279273703E-2</c:v>
                </c:pt>
                <c:pt idx="12">
                  <c:v>8.7184876870771033E-2</c:v>
                </c:pt>
                <c:pt idx="13">
                  <c:v>9.5732916125011572E-2</c:v>
                </c:pt>
                <c:pt idx="14">
                  <c:v>0.10421794333014767</c:v>
                </c:pt>
                <c:pt idx="15">
                  <c:v>0.11270315705201213</c:v>
                </c:pt>
                <c:pt idx="16">
                  <c:v>0.1210938506996055</c:v>
                </c:pt>
                <c:pt idx="17">
                  <c:v>0.12941895947117643</c:v>
                </c:pt>
                <c:pt idx="18">
                  <c:v>0.13909868417085361</c:v>
                </c:pt>
                <c:pt idx="19">
                  <c:v>0.1503434275620289</c:v>
                </c:pt>
                <c:pt idx="20">
                  <c:v>0.1503434275620289</c:v>
                </c:pt>
                <c:pt idx="21">
                  <c:v>0.1503434275620289</c:v>
                </c:pt>
                <c:pt idx="22">
                  <c:v>0.1503434275620289</c:v>
                </c:pt>
                <c:pt idx="23">
                  <c:v>0.1503434275620289</c:v>
                </c:pt>
                <c:pt idx="24">
                  <c:v>0.1503434275620289</c:v>
                </c:pt>
              </c:numCache>
            </c:numRef>
          </c:yVal>
          <c:smooth val="0"/>
        </c:ser>
        <c:ser>
          <c:idx val="3"/>
          <c:order val="3"/>
          <c:tx>
            <c:v>hCm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</c:spPr>
          </c:marker>
          <c:xVal>
            <c:numRef>
              <c:f>'Main Sheet (t0,N or H,u0-data)'!$H$19:$H$43</c:f>
              <c:numCache>
                <c:formatCode>0.0</c:formatCode>
                <c:ptCount val="25"/>
                <c:pt idx="0">
                  <c:v>0.61065765304640829</c:v>
                </c:pt>
                <c:pt idx="1">
                  <c:v>1.2194582492870853</c:v>
                </c:pt>
                <c:pt idx="2">
                  <c:v>2.4292559218208125</c:v>
                </c:pt>
                <c:pt idx="3">
                  <c:v>3.6389191214020058</c:v>
                </c:pt>
                <c:pt idx="4">
                  <c:v>4.8476651173468097</c:v>
                </c:pt>
                <c:pt idx="5">
                  <c:v>6.0693809881103995</c:v>
                </c:pt>
                <c:pt idx="6">
                  <c:v>7.2488137453936483</c:v>
                </c:pt>
                <c:pt idx="7">
                  <c:v>8.4412724567435689</c:v>
                </c:pt>
                <c:pt idx="8">
                  <c:v>9.6574609454836668</c:v>
                </c:pt>
                <c:pt idx="9">
                  <c:v>10.842418539315247</c:v>
                </c:pt>
                <c:pt idx="10">
                  <c:v>12.025774737938656</c:v>
                </c:pt>
                <c:pt idx="11">
                  <c:v>10.815927162340591</c:v>
                </c:pt>
                <c:pt idx="12">
                  <c:v>11.993533875612851</c:v>
                </c:pt>
                <c:pt idx="13">
                  <c:v>13.169439629517434</c:v>
                </c:pt>
                <c:pt idx="14">
                  <c:v>14.336677169706167</c:v>
                </c:pt>
                <c:pt idx="15">
                  <c:v>15.503940367953732</c:v>
                </c:pt>
                <c:pt idx="16">
                  <c:v>16.658200970414232</c:v>
                </c:pt>
                <c:pt idx="17">
                  <c:v>17.803439429808925</c:v>
                </c:pt>
                <c:pt idx="18">
                  <c:v>19.135024794828865</c:v>
                </c:pt>
                <c:pt idx="19">
                  <c:v>20.681900991999342</c:v>
                </c:pt>
                <c:pt idx="20">
                  <c:v>20.681900991999342</c:v>
                </c:pt>
                <c:pt idx="21">
                  <c:v>20.681900991999342</c:v>
                </c:pt>
                <c:pt idx="22">
                  <c:v>20.681900991999342</c:v>
                </c:pt>
                <c:pt idx="23">
                  <c:v>20.681900991999342</c:v>
                </c:pt>
                <c:pt idx="24">
                  <c:v>20.681900991999342</c:v>
                </c:pt>
              </c:numCache>
            </c:numRef>
          </c:xVal>
          <c:yVal>
            <c:numRef>
              <c:f>'Main Sheet (t0,N or H,u0-data)'!$L$19:$L$43</c:f>
              <c:numCache>
                <c:formatCode>0.00E+00</c:formatCode>
                <c:ptCount val="25"/>
                <c:pt idx="0">
                  <c:v>7.3450819916606788E-3</c:v>
                </c:pt>
                <c:pt idx="1">
                  <c:v>1.5636178070953057E-2</c:v>
                </c:pt>
                <c:pt idx="2">
                  <c:v>3.1457524466332973E-2</c:v>
                </c:pt>
                <c:pt idx="3">
                  <c:v>4.6047852807888187E-2</c:v>
                </c:pt>
                <c:pt idx="4">
                  <c:v>5.9669361575914452E-2</c:v>
                </c:pt>
                <c:pt idx="5">
                  <c:v>7.2704886341615205E-2</c:v>
                </c:pt>
                <c:pt idx="6">
                  <c:v>8.4744882180434272E-2</c:v>
                </c:pt>
                <c:pt idx="7">
                  <c:v>9.6479000201040652E-2</c:v>
                </c:pt>
                <c:pt idx="8">
                  <c:v>0.10806920651438523</c:v>
                </c:pt>
                <c:pt idx="9">
                  <c:v>0.11905067137894342</c:v>
                </c:pt>
                <c:pt idx="10">
                  <c:v>0.129752418402828</c:v>
                </c:pt>
                <c:pt idx="11">
                  <c:v>0.11880820077015435</c:v>
                </c:pt>
                <c:pt idx="12">
                  <c:v>0.12946405692227544</c:v>
                </c:pt>
                <c:pt idx="13">
                  <c:v>0.13987403751156663</c:v>
                </c:pt>
                <c:pt idx="14">
                  <c:v>0.15000471784726305</c:v>
                </c:pt>
                <c:pt idx="15">
                  <c:v>0.15995430085924287</c:v>
                </c:pt>
                <c:pt idx="16">
                  <c:v>0.1696314182654787</c:v>
                </c:pt>
                <c:pt idx="17">
                  <c:v>0.17908779004641115</c:v>
                </c:pt>
                <c:pt idx="18">
                  <c:v>0.18991644140344496</c:v>
                </c:pt>
                <c:pt idx="19">
                  <c:v>0.20229067325696071</c:v>
                </c:pt>
                <c:pt idx="20">
                  <c:v>0.20229067325696071</c:v>
                </c:pt>
                <c:pt idx="21">
                  <c:v>0.20229067325696071</c:v>
                </c:pt>
                <c:pt idx="22">
                  <c:v>0.20229067325696071</c:v>
                </c:pt>
                <c:pt idx="23">
                  <c:v>0.20229067325696071</c:v>
                </c:pt>
                <c:pt idx="24">
                  <c:v>0.20229067325696071</c:v>
                </c:pt>
              </c:numCache>
            </c:numRef>
          </c:yVal>
          <c:smooth val="0"/>
        </c:ser>
        <c:ser>
          <c:idx val="4"/>
          <c:order val="4"/>
          <c:tx>
            <c:v>hA</c:v>
          </c:tx>
          <c:spPr>
            <a:ln w="28575">
              <a:noFill/>
            </a:ln>
          </c:spPr>
          <c:xVal>
            <c:numRef>
              <c:f>'Main Sheet (t0,N or H,u0-data)'!$H$19:$H$43</c:f>
              <c:numCache>
                <c:formatCode>0.0</c:formatCode>
                <c:ptCount val="25"/>
                <c:pt idx="0">
                  <c:v>0.61065765304640829</c:v>
                </c:pt>
                <c:pt idx="1">
                  <c:v>1.2194582492870853</c:v>
                </c:pt>
                <c:pt idx="2">
                  <c:v>2.4292559218208125</c:v>
                </c:pt>
                <c:pt idx="3">
                  <c:v>3.6389191214020058</c:v>
                </c:pt>
                <c:pt idx="4">
                  <c:v>4.8476651173468097</c:v>
                </c:pt>
                <c:pt idx="5">
                  <c:v>6.0693809881103995</c:v>
                </c:pt>
                <c:pt idx="6">
                  <c:v>7.2488137453936483</c:v>
                </c:pt>
                <c:pt idx="7">
                  <c:v>8.4412724567435689</c:v>
                </c:pt>
                <c:pt idx="8">
                  <c:v>9.6574609454836668</c:v>
                </c:pt>
                <c:pt idx="9">
                  <c:v>10.842418539315247</c:v>
                </c:pt>
                <c:pt idx="10">
                  <c:v>12.025774737938656</c:v>
                </c:pt>
                <c:pt idx="11">
                  <c:v>10.815927162340591</c:v>
                </c:pt>
                <c:pt idx="12">
                  <c:v>11.993533875612851</c:v>
                </c:pt>
                <c:pt idx="13">
                  <c:v>13.169439629517434</c:v>
                </c:pt>
                <c:pt idx="14">
                  <c:v>14.336677169706167</c:v>
                </c:pt>
                <c:pt idx="15">
                  <c:v>15.503940367953732</c:v>
                </c:pt>
                <c:pt idx="16">
                  <c:v>16.658200970414232</c:v>
                </c:pt>
                <c:pt idx="17">
                  <c:v>17.803439429808925</c:v>
                </c:pt>
                <c:pt idx="18">
                  <c:v>19.135024794828865</c:v>
                </c:pt>
                <c:pt idx="19">
                  <c:v>20.681900991999342</c:v>
                </c:pt>
                <c:pt idx="20">
                  <c:v>20.681900991999342</c:v>
                </c:pt>
                <c:pt idx="21">
                  <c:v>20.681900991999342</c:v>
                </c:pt>
                <c:pt idx="22">
                  <c:v>20.681900991999342</c:v>
                </c:pt>
                <c:pt idx="23">
                  <c:v>20.681900991999342</c:v>
                </c:pt>
                <c:pt idx="24">
                  <c:v>20.681900991999342</c:v>
                </c:pt>
              </c:numCache>
            </c:numRef>
          </c:xVal>
          <c:yVal>
            <c:numRef>
              <c:f>'Main Sheet (t0,N or H,u0-data)'!$M$19:$M$43</c:f>
              <c:numCache>
                <c:formatCode>0.00E+00</c:formatCode>
                <c:ptCount val="25"/>
                <c:pt idx="0">
                  <c:v>2.5174549781589745E-3</c:v>
                </c:pt>
                <c:pt idx="1">
                  <c:v>0.66069002525149678</c:v>
                </c:pt>
                <c:pt idx="2">
                  <c:v>0.82567187193184421</c:v>
                </c:pt>
                <c:pt idx="3">
                  <c:v>0.88773861310075874</c:v>
                </c:pt>
                <c:pt idx="4">
                  <c:v>0.95532306121614152</c:v>
                </c:pt>
                <c:pt idx="5">
                  <c:v>0.98662598973431381</c:v>
                </c:pt>
                <c:pt idx="6">
                  <c:v>1.0429437123452721</c:v>
                </c:pt>
                <c:pt idx="7">
                  <c:v>1.091403521152954</c:v>
                </c:pt>
                <c:pt idx="8">
                  <c:v>1.1119944712422578</c:v>
                </c:pt>
                <c:pt idx="9">
                  <c:v>1.2138759179232375</c:v>
                </c:pt>
                <c:pt idx="10">
                  <c:v>1.2938017237311952</c:v>
                </c:pt>
                <c:pt idx="11">
                  <c:v>1.1961926648933368</c:v>
                </c:pt>
                <c:pt idx="12">
                  <c:v>1.2981690137779103</c:v>
                </c:pt>
                <c:pt idx="13">
                  <c:v>1.3611071042309593</c:v>
                </c:pt>
                <c:pt idx="14">
                  <c:v>1.420617365057069</c:v>
                </c:pt>
                <c:pt idx="15">
                  <c:v>1.4903665683690308</c:v>
                </c:pt>
                <c:pt idx="16">
                  <c:v>1.554574116378159</c:v>
                </c:pt>
                <c:pt idx="17">
                  <c:v>1.5866190828890685</c:v>
                </c:pt>
                <c:pt idx="18">
                  <c:v>1.7295613490495367</c:v>
                </c:pt>
                <c:pt idx="19">
                  <c:v>1.8556340954840984</c:v>
                </c:pt>
                <c:pt idx="20">
                  <c:v>1.8556340954840984</c:v>
                </c:pt>
                <c:pt idx="21">
                  <c:v>1.8556340954840984</c:v>
                </c:pt>
                <c:pt idx="22">
                  <c:v>1.8556340954840984</c:v>
                </c:pt>
                <c:pt idx="23">
                  <c:v>1.8556340954840984</c:v>
                </c:pt>
                <c:pt idx="24">
                  <c:v>1.8556340954840984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4627072"/>
        <c:axId val="754627648"/>
      </c:scatterChart>
      <c:valAx>
        <c:axId val="754627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nl-BE" sz="1400">
                    <a:latin typeface="Symbol" panose="05050102010706020507" pitchFamily="18" charset="2"/>
                  </a:rPr>
                  <a:t>n</a:t>
                </a:r>
                <a:r>
                  <a:rPr lang="nl-BE" sz="1400">
                    <a:latin typeface="+mn-lt"/>
                  </a:rPr>
                  <a:t>i </a:t>
                </a:r>
                <a:r>
                  <a:rPr lang="nl-BE" sz="1400">
                    <a:latin typeface="Symbol" panose="05050102010706020507" pitchFamily="18" charset="2"/>
                  </a:rPr>
                  <a:t>(/)</a:t>
                </a:r>
              </a:p>
            </c:rich>
          </c:tx>
          <c:layout>
            <c:manualLayout>
              <c:xMode val="edge"/>
              <c:yMode val="edge"/>
              <c:x val="0.80956372465557369"/>
              <c:y val="0.8917862837000268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754627648"/>
        <c:crosses val="autoZero"/>
        <c:crossBetween val="midCat"/>
      </c:valAx>
      <c:valAx>
        <c:axId val="754627648"/>
        <c:scaling>
          <c:orientation val="minMax"/>
          <c:max val="4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nl-BE" sz="1400"/>
                  <a:t>h</a:t>
                </a:r>
                <a:r>
                  <a:rPr lang="nl-BE" sz="1400" baseline="0"/>
                  <a:t> (/)</a:t>
                </a:r>
                <a:endParaRPr lang="nl-BE" sz="1400"/>
              </a:p>
            </c:rich>
          </c:tx>
          <c:layout>
            <c:manualLayout>
              <c:xMode val="edge"/>
              <c:yMode val="edge"/>
              <c:x val="2.9199248544693373E-3"/>
              <c:y val="0.3022569784560679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754627072"/>
        <c:crosses val="autoZero"/>
        <c:crossBetween val="midCat"/>
        <c:majorUnit val="1"/>
      </c:valAx>
    </c:plotArea>
    <c:legend>
      <c:legendPos val="r"/>
      <c:layout>
        <c:manualLayout>
          <c:xMode val="edge"/>
          <c:yMode val="edge"/>
          <c:x val="0.85916914937945943"/>
          <c:y val="1.7346444464003182E-2"/>
          <c:w val="0.12473172794667294"/>
          <c:h val="0.29594645584812335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92475085563525"/>
          <c:y val="4.0063213740180424E-2"/>
          <c:w val="0.77228241917719631"/>
          <c:h val="0.8442790542260696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'Main Sheet (t0,N or H,u0-data)'!$P$19:$P$43</c:f>
              <c:numCache>
                <c:formatCode>0.00E+00</c:formatCode>
                <c:ptCount val="25"/>
                <c:pt idx="0">
                  <c:v>478907.13845516852</c:v>
                </c:pt>
                <c:pt idx="1">
                  <c:v>437488.19148589694</c:v>
                </c:pt>
                <c:pt idx="2">
                  <c:v>385491.41975706135</c:v>
                </c:pt>
                <c:pt idx="3">
                  <c:v>342296.44316059089</c:v>
                </c:pt>
                <c:pt idx="4">
                  <c:v>302731.17443048127</c:v>
                </c:pt>
                <c:pt idx="5">
                  <c:v>271203.65610579145</c:v>
                </c:pt>
                <c:pt idx="6">
                  <c:v>242027.32816517854</c:v>
                </c:pt>
                <c:pt idx="7">
                  <c:v>217047.68944037487</c:v>
                </c:pt>
                <c:pt idx="8">
                  <c:v>197423.19858138659</c:v>
                </c:pt>
                <c:pt idx="9">
                  <c:v>174042.54505642442</c:v>
                </c:pt>
                <c:pt idx="10">
                  <c:v>155509.84025056244</c:v>
                </c:pt>
                <c:pt idx="11">
                  <c:v>175749.22105549052</c:v>
                </c:pt>
                <c:pt idx="12">
                  <c:v>155524.90529591235</c:v>
                </c:pt>
                <c:pt idx="13">
                  <c:v>140575.84829861557</c:v>
                </c:pt>
                <c:pt idx="14">
                  <c:v>127762.79614653834</c:v>
                </c:pt>
                <c:pt idx="15">
                  <c:v>115991.6139037387</c:v>
                </c:pt>
                <c:pt idx="16">
                  <c:v>105982.11432310641</c:v>
                </c:pt>
                <c:pt idx="17">
                  <c:v>98493.780487651704</c:v>
                </c:pt>
                <c:pt idx="18">
                  <c:v>86925.724784223799</c:v>
                </c:pt>
                <c:pt idx="19">
                  <c:v>76889.713395844723</c:v>
                </c:pt>
                <c:pt idx="20">
                  <c:v>76889.713395844723</c:v>
                </c:pt>
                <c:pt idx="21">
                  <c:v>76889.713395844723</c:v>
                </c:pt>
                <c:pt idx="22">
                  <c:v>76889.713395844723</c:v>
                </c:pt>
                <c:pt idx="23">
                  <c:v>76889.713395844723</c:v>
                </c:pt>
                <c:pt idx="24">
                  <c:v>76889.713395844723</c:v>
                </c:pt>
              </c:numCache>
            </c:numRef>
          </c:xVal>
          <c:yVal>
            <c:numRef>
              <c:f>'Main Sheet (t0,N or H,u0-data)'!$O$19:$O$43</c:f>
              <c:numCache>
                <c:formatCode>0.00E+00</c:formatCode>
                <c:ptCount val="25"/>
                <c:pt idx="0">
                  <c:v>5641.4007517269702</c:v>
                </c:pt>
                <c:pt idx="1">
                  <c:v>1414.6489733476358</c:v>
                </c:pt>
                <c:pt idx="2">
                  <c:v>356.48069871981039</c:v>
                </c:pt>
                <c:pt idx="3">
                  <c:v>158.86848514275883</c:v>
                </c:pt>
                <c:pt idx="4">
                  <c:v>89.519436419153621</c:v>
                </c:pt>
                <c:pt idx="5">
                  <c:v>57.107580507309443</c:v>
                </c:pt>
                <c:pt idx="6">
                  <c:v>40.035815457904647</c:v>
                </c:pt>
                <c:pt idx="7">
                  <c:v>29.523424046133929</c:v>
                </c:pt>
                <c:pt idx="8">
                  <c:v>22.555717129676786</c:v>
                </c:pt>
                <c:pt idx="9">
                  <c:v>17.894939100114918</c:v>
                </c:pt>
                <c:pt idx="10">
                  <c:v>14.5464303373008</c:v>
                </c:pt>
                <c:pt idx="11">
                  <c:v>17.982706358236673</c:v>
                </c:pt>
                <c:pt idx="12">
                  <c:v>14.624742505907408</c:v>
                </c:pt>
                <c:pt idx="13">
                  <c:v>12.129641607678652</c:v>
                </c:pt>
                <c:pt idx="14">
                  <c:v>10.234945833279566</c:v>
                </c:pt>
                <c:pt idx="15">
                  <c:v>8.7518201023996927</c:v>
                </c:pt>
                <c:pt idx="16">
                  <c:v>7.5809977203846151</c:v>
                </c:pt>
                <c:pt idx="17">
                  <c:v>6.6370446275686934</c:v>
                </c:pt>
                <c:pt idx="18">
                  <c:v>5.7454559851174247</c:v>
                </c:pt>
                <c:pt idx="19">
                  <c:v>4.9181486501231255</c:v>
                </c:pt>
                <c:pt idx="20">
                  <c:v>4.9181486501231255</c:v>
                </c:pt>
                <c:pt idx="21">
                  <c:v>4.9181486501231255</c:v>
                </c:pt>
                <c:pt idx="22">
                  <c:v>4.9181486501231255</c:v>
                </c:pt>
                <c:pt idx="23">
                  <c:v>4.9181486501231255</c:v>
                </c:pt>
                <c:pt idx="24">
                  <c:v>4.9181486501231255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4629952"/>
        <c:axId val="754958336"/>
      </c:scatterChart>
      <c:valAx>
        <c:axId val="754629952"/>
        <c:scaling>
          <c:logBase val="10"/>
          <c:orientation val="minMax"/>
          <c:min val="10000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latin typeface="+mn-lt"/>
                  </a:defRPr>
                </a:pPr>
                <a:r>
                  <a:rPr lang="nl-BE" sz="1400">
                    <a:latin typeface="+mn-lt"/>
                  </a:rPr>
                  <a:t>N(/)</a:t>
                </a:r>
              </a:p>
            </c:rich>
          </c:tx>
          <c:layout>
            <c:manualLayout>
              <c:xMode val="edge"/>
              <c:yMode val="edge"/>
              <c:x val="0.66080955275162301"/>
              <c:y val="0.9197113330120746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754958336"/>
        <c:crosses val="autoZero"/>
        <c:crossBetween val="midCat"/>
      </c:valAx>
      <c:valAx>
        <c:axId val="754958336"/>
        <c:scaling>
          <c:logBase val="10"/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nl-BE" sz="1200"/>
                  <a:t>time (min)</a:t>
                </a:r>
              </a:p>
            </c:rich>
          </c:tx>
          <c:layout>
            <c:manualLayout>
              <c:xMode val="edge"/>
              <c:yMode val="edge"/>
              <c:x val="9.0305443942806825E-3"/>
              <c:y val="0.3464606215449522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7546299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400">
                <a:latin typeface="Symbol" panose="05050102010706020507" pitchFamily="18" charset="2"/>
              </a:rPr>
              <a:t>s</a:t>
            </a:r>
            <a:r>
              <a:rPr lang="en-US" sz="2400"/>
              <a:t>2</a:t>
            </a:r>
            <a:r>
              <a:rPr lang="en-US" sz="2400">
                <a:latin typeface="+mn-lt"/>
              </a:rPr>
              <a:t>x</a:t>
            </a:r>
            <a:r>
              <a:rPr lang="en-US" sz="2400"/>
              <a:t> vs. </a:t>
            </a:r>
            <a:r>
              <a:rPr lang="en-US" sz="2400">
                <a:latin typeface="Symbol" panose="05050102010706020507" pitchFamily="18" charset="2"/>
              </a:rPr>
              <a:t>D</a:t>
            </a:r>
            <a:r>
              <a:rPr lang="en-US" sz="2400"/>
              <a:t>tpark</a:t>
            </a:r>
          </a:p>
        </c:rich>
      </c:tx>
      <c:layout>
        <c:manualLayout>
          <c:xMode val="edge"/>
          <c:yMode val="edge"/>
          <c:x val="0.13333464808600734"/>
          <c:y val="3.70370177157832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16158750499428"/>
          <c:y val="3.2766477107028284E-2"/>
          <c:w val="0.85300513681943591"/>
          <c:h val="0.89051380071947506"/>
        </c:manualLayout>
      </c:layout>
      <c:scatterChart>
        <c:scatterStyle val="lineMarker"/>
        <c:varyColors val="0"/>
        <c:ser>
          <c:idx val="0"/>
          <c:order val="0"/>
          <c:tx>
            <c:v>s2x vs. dtstop</c:v>
          </c:tx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-0.10455808979019066"/>
                  <c:y val="5.1901558228592139E-2"/>
                </c:manualLayout>
              </c:layout>
              <c:numFmt formatCode="0.0000E+00" sourceLinked="0"/>
              <c:txPr>
                <a:bodyPr/>
                <a:lstStyle/>
                <a:p>
                  <a:pPr>
                    <a:defRPr sz="1400" b="1"/>
                  </a:pPr>
                  <a:endParaRPr lang="en-US"/>
                </a:p>
              </c:txPr>
            </c:trendlineLbl>
          </c:trendline>
          <c:xVal>
            <c:numRef>
              <c:f>'Deff via Peak Parking'!$A$17:$A$34</c:f>
              <c:numCache>
                <c:formatCode>General</c:formatCode>
                <c:ptCount val="18"/>
                <c:pt idx="0">
                  <c:v>900</c:v>
                </c:pt>
                <c:pt idx="1">
                  <c:v>900</c:v>
                </c:pt>
                <c:pt idx="2">
                  <c:v>900</c:v>
                </c:pt>
                <c:pt idx="3">
                  <c:v>1800</c:v>
                </c:pt>
                <c:pt idx="4">
                  <c:v>1800</c:v>
                </c:pt>
                <c:pt idx="5">
                  <c:v>1800</c:v>
                </c:pt>
                <c:pt idx="6">
                  <c:v>2700</c:v>
                </c:pt>
                <c:pt idx="7">
                  <c:v>2700</c:v>
                </c:pt>
                <c:pt idx="8">
                  <c:v>2700</c:v>
                </c:pt>
                <c:pt idx="9">
                  <c:v>3600</c:v>
                </c:pt>
                <c:pt idx="10">
                  <c:v>3600</c:v>
                </c:pt>
                <c:pt idx="11">
                  <c:v>3600</c:v>
                </c:pt>
                <c:pt idx="12">
                  <c:v>5400</c:v>
                </c:pt>
                <c:pt idx="13">
                  <c:v>5400</c:v>
                </c:pt>
                <c:pt idx="14">
                  <c:v>5400</c:v>
                </c:pt>
                <c:pt idx="15">
                  <c:v>7200</c:v>
                </c:pt>
                <c:pt idx="16">
                  <c:v>7200</c:v>
                </c:pt>
                <c:pt idx="17">
                  <c:v>7200</c:v>
                </c:pt>
              </c:numCache>
            </c:numRef>
          </c:xVal>
          <c:yVal>
            <c:numRef>
              <c:f>'Deff via Peak Parking'!$H$17:$H$34</c:f>
              <c:numCache>
                <c:formatCode>0.00E+00</c:formatCode>
                <c:ptCount val="18"/>
                <c:pt idx="0">
                  <c:v>1.0686283790833484E-6</c:v>
                </c:pt>
                <c:pt idx="1">
                  <c:v>1.0824990494636278E-6</c:v>
                </c:pt>
                <c:pt idx="2">
                  <c:v>1.077340865890474E-6</c:v>
                </c:pt>
                <c:pt idx="3">
                  <c:v>2.1818425094084405E-6</c:v>
                </c:pt>
                <c:pt idx="4">
                  <c:v>2.1781253143841621E-6</c:v>
                </c:pt>
                <c:pt idx="5">
                  <c:v>2.1823192734798664E-6</c:v>
                </c:pt>
                <c:pt idx="6">
                  <c:v>3.1431594825688212E-6</c:v>
                </c:pt>
                <c:pt idx="7">
                  <c:v>3.1778930840658695E-6</c:v>
                </c:pt>
                <c:pt idx="8">
                  <c:v>3.1347783590837178E-6</c:v>
                </c:pt>
                <c:pt idx="9">
                  <c:v>4.1998905618100601E-6</c:v>
                </c:pt>
                <c:pt idx="10">
                  <c:v>4.3081251740617245E-6</c:v>
                </c:pt>
                <c:pt idx="11">
                  <c:v>4.3684632358859146E-6</c:v>
                </c:pt>
                <c:pt idx="12">
                  <c:v>6.3876121253193724E-6</c:v>
                </c:pt>
                <c:pt idx="13">
                  <c:v>6.3767253717006683E-6</c:v>
                </c:pt>
                <c:pt idx="14">
                  <c:v>6.7291002139225217E-6</c:v>
                </c:pt>
                <c:pt idx="15">
                  <c:v>8.3933002543337463E-6</c:v>
                </c:pt>
                <c:pt idx="16">
                  <c:v>8.4593799339129167E-6</c:v>
                </c:pt>
                <c:pt idx="17">
                  <c:v>8.514996869903116E-6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4960064"/>
        <c:axId val="754960640"/>
      </c:scatterChart>
      <c:valAx>
        <c:axId val="75496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4960640"/>
        <c:crosses val="autoZero"/>
        <c:crossBetween val="midCat"/>
      </c:valAx>
      <c:valAx>
        <c:axId val="7549606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0E+00" sourceLinked="1"/>
        <c:majorTickMark val="out"/>
        <c:minorTickMark val="none"/>
        <c:tickLblPos val="nextTo"/>
        <c:crossAx val="7549600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34374</xdr:colOff>
      <xdr:row>0</xdr:row>
      <xdr:rowOff>148198</xdr:rowOff>
    </xdr:from>
    <xdr:to>
      <xdr:col>6</xdr:col>
      <xdr:colOff>305519</xdr:colOff>
      <xdr:row>16</xdr:row>
      <xdr:rowOff>14847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350447</xdr:colOff>
      <xdr:row>0</xdr:row>
      <xdr:rowOff>144557</xdr:rowOff>
    </xdr:from>
    <xdr:to>
      <xdr:col>13</xdr:col>
      <xdr:colOff>17970</xdr:colOff>
      <xdr:row>16</xdr:row>
      <xdr:rowOff>11206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54282</xdr:colOff>
      <xdr:row>0</xdr:row>
      <xdr:rowOff>143773</xdr:rowOff>
    </xdr:from>
    <xdr:to>
      <xdr:col>18</xdr:col>
      <xdr:colOff>536863</xdr:colOff>
      <xdr:row>16</xdr:row>
      <xdr:rowOff>8658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1</xdr:row>
      <xdr:rowOff>0</xdr:rowOff>
    </xdr:from>
    <xdr:to>
      <xdr:col>5</xdr:col>
      <xdr:colOff>503208</xdr:colOff>
      <xdr:row>3</xdr:row>
      <xdr:rowOff>116816</xdr:rowOff>
    </xdr:to>
    <xdr:sp macro="" textlink="">
      <xdr:nvSpPr>
        <xdr:cNvPr id="5" name="TextBox 4"/>
        <xdr:cNvSpPr txBox="1"/>
      </xdr:nvSpPr>
      <xdr:spPr>
        <a:xfrm>
          <a:off x="1338892" y="188703"/>
          <a:ext cx="2498066" cy="4942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nl-NL" sz="1200" b="1"/>
            <a:t>Absolute</a:t>
          </a:r>
          <a:r>
            <a:rPr lang="nl-NL" sz="1200" b="1" baseline="0"/>
            <a:t> H-values (successive subtractions)</a:t>
          </a:r>
          <a:endParaRPr lang="nl-NL" sz="1200" b="1"/>
        </a:p>
      </xdr:txBody>
    </xdr:sp>
    <xdr:clientData/>
  </xdr:twoCellAnchor>
  <xdr:twoCellAnchor>
    <xdr:from>
      <xdr:col>7</xdr:col>
      <xdr:colOff>539151</xdr:colOff>
      <xdr:row>0</xdr:row>
      <xdr:rowOff>170731</xdr:rowOff>
    </xdr:from>
    <xdr:to>
      <xdr:col>11</xdr:col>
      <xdr:colOff>413349</xdr:colOff>
      <xdr:row>3</xdr:row>
      <xdr:rowOff>98844</xdr:rowOff>
    </xdr:to>
    <xdr:sp macro="" textlink="">
      <xdr:nvSpPr>
        <xdr:cNvPr id="6" name="TextBox 5"/>
        <xdr:cNvSpPr txBox="1"/>
      </xdr:nvSpPr>
      <xdr:spPr>
        <a:xfrm>
          <a:off x="5283679" y="170731"/>
          <a:ext cx="2498066" cy="4942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nl-NL" sz="1200" b="1"/>
            <a:t>Reduced</a:t>
          </a:r>
          <a:r>
            <a:rPr lang="nl-NL" sz="1200" b="1" baseline="0"/>
            <a:t> h-values (individual contributions)</a:t>
          </a:r>
          <a:endParaRPr lang="nl-NL" sz="1200" b="1"/>
        </a:p>
      </xdr:txBody>
    </xdr:sp>
    <xdr:clientData/>
  </xdr:twoCellAnchor>
  <xdr:twoCellAnchor>
    <xdr:from>
      <xdr:col>15</xdr:col>
      <xdr:colOff>35944</xdr:colOff>
      <xdr:row>1</xdr:row>
      <xdr:rowOff>98843</xdr:rowOff>
    </xdr:from>
    <xdr:to>
      <xdr:col>18</xdr:col>
      <xdr:colOff>134788</xdr:colOff>
      <xdr:row>4</xdr:row>
      <xdr:rowOff>26956</xdr:rowOff>
    </xdr:to>
    <xdr:sp macro="" textlink="">
      <xdr:nvSpPr>
        <xdr:cNvPr id="8" name="TextBox 7"/>
        <xdr:cNvSpPr txBox="1"/>
      </xdr:nvSpPr>
      <xdr:spPr>
        <a:xfrm>
          <a:off x="10207925" y="287546"/>
          <a:ext cx="2498066" cy="4942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nl-NL" sz="1200" b="1"/>
            <a:t>Kinetic</a:t>
          </a:r>
          <a:r>
            <a:rPr lang="nl-NL" sz="1200" b="1" baseline="0"/>
            <a:t> Plot</a:t>
          </a:r>
          <a:endParaRPr lang="nl-NL" sz="1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566737</xdr:colOff>
      <xdr:row>12</xdr:row>
      <xdr:rowOff>214312</xdr:rowOff>
    </xdr:from>
    <xdr:to>
      <xdr:col>18</xdr:col>
      <xdr:colOff>504825</xdr:colOff>
      <xdr:row>33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AV86"/>
  <sheetViews>
    <sheetView tabSelected="1" topLeftCell="J12" zoomScale="98" zoomScaleNormal="98" workbookViewId="0">
      <selection activeCell="AA34" sqref="AA34"/>
    </sheetView>
  </sheetViews>
  <sheetFormatPr defaultRowHeight="15" x14ac:dyDescent="0.25"/>
  <cols>
    <col min="1" max="1" width="10.85546875" customWidth="1"/>
    <col min="2" max="3" width="12.28515625" bestFit="1" customWidth="1"/>
    <col min="4" max="4" width="10.28515625" customWidth="1"/>
    <col min="5" max="5" width="10.5703125" customWidth="1"/>
    <col min="6" max="6" width="10.28515625" customWidth="1"/>
    <col min="7" max="7" width="10.85546875" customWidth="1"/>
    <col min="9" max="10" width="10.140625" customWidth="1"/>
    <col min="11" max="11" width="10" customWidth="1"/>
    <col min="12" max="12" width="11" customWidth="1"/>
    <col min="13" max="13" width="9" customWidth="1"/>
    <col min="14" max="14" width="6.85546875" customWidth="1"/>
    <col min="15" max="15" width="15.140625" bestFit="1" customWidth="1"/>
    <col min="16" max="16" width="15.5703125" customWidth="1"/>
    <col min="18" max="18" width="11.140625" customWidth="1"/>
    <col min="19" max="19" width="12.28515625" bestFit="1" customWidth="1"/>
    <col min="20" max="20" width="7.42578125" customWidth="1"/>
    <col min="21" max="21" width="12.28515625" bestFit="1" customWidth="1"/>
    <col min="24" max="24" width="10.28515625" customWidth="1"/>
    <col min="33" max="33" width="9.5703125" bestFit="1" customWidth="1"/>
    <col min="34" max="34" width="10.85546875" customWidth="1"/>
    <col min="35" max="35" width="12.85546875" bestFit="1" customWidth="1"/>
    <col min="36" max="36" width="12.28515625" bestFit="1" customWidth="1"/>
  </cols>
  <sheetData>
    <row r="17" spans="1:48" ht="20.25" x14ac:dyDescent="0.35">
      <c r="B17" s="12" t="s">
        <v>133</v>
      </c>
      <c r="M17" s="21"/>
      <c r="N17" s="19"/>
      <c r="O17" s="103" t="s">
        <v>118</v>
      </c>
      <c r="Q17" s="15" t="s">
        <v>22</v>
      </c>
      <c r="R17" s="3"/>
      <c r="S17" s="3"/>
      <c r="T17" s="3"/>
      <c r="U17" s="3"/>
      <c r="X17" s="43" t="s">
        <v>58</v>
      </c>
      <c r="Y17" s="16"/>
      <c r="Z17" s="16"/>
      <c r="AA17" s="16"/>
    </row>
    <row r="18" spans="1:48" ht="21.75" x14ac:dyDescent="0.35">
      <c r="A18" s="105" t="s">
        <v>112</v>
      </c>
      <c r="B18" s="78" t="s">
        <v>32</v>
      </c>
      <c r="C18" s="79" t="s">
        <v>11</v>
      </c>
      <c r="D18" s="79" t="s">
        <v>33</v>
      </c>
      <c r="E18" s="80" t="s">
        <v>0</v>
      </c>
      <c r="F18" s="78" t="s">
        <v>34</v>
      </c>
      <c r="G18" s="79" t="s">
        <v>35</v>
      </c>
      <c r="H18" s="79" t="s">
        <v>36</v>
      </c>
      <c r="I18" s="114" t="s">
        <v>85</v>
      </c>
      <c r="J18" s="115" t="s">
        <v>123</v>
      </c>
      <c r="K18" s="116" t="s">
        <v>124</v>
      </c>
      <c r="L18" s="107" t="s">
        <v>106</v>
      </c>
      <c r="M18" s="117" t="s">
        <v>122</v>
      </c>
      <c r="N18" s="106"/>
      <c r="O18" s="104" t="s">
        <v>132</v>
      </c>
      <c r="P18" s="104" t="s">
        <v>119</v>
      </c>
      <c r="Q18" s="13" t="s">
        <v>121</v>
      </c>
      <c r="S18" s="3">
        <v>600</v>
      </c>
      <c r="T18" t="s">
        <v>120</v>
      </c>
      <c r="U18" t="s">
        <v>115</v>
      </c>
      <c r="AI18" s="72" t="s">
        <v>105</v>
      </c>
      <c r="AJ18" s="73" t="s">
        <v>87</v>
      </c>
      <c r="AK18" s="74" t="s">
        <v>88</v>
      </c>
      <c r="AL18" s="75" t="s">
        <v>89</v>
      </c>
      <c r="AM18" s="70" t="s">
        <v>59</v>
      </c>
      <c r="AN18" s="76" t="s">
        <v>62</v>
      </c>
      <c r="AO18" s="77" t="s">
        <v>61</v>
      </c>
      <c r="AP18" s="100" t="s">
        <v>109</v>
      </c>
      <c r="AQ18" s="63" t="s">
        <v>60</v>
      </c>
      <c r="AR18" s="64"/>
      <c r="AS18" s="64"/>
      <c r="AT18" s="64"/>
      <c r="AU18" s="64"/>
      <c r="AV18" s="64"/>
    </row>
    <row r="19" spans="1:48" ht="18" x14ac:dyDescent="0.35">
      <c r="A19" s="94">
        <v>2.4000000000000004</v>
      </c>
      <c r="B19" s="47">
        <v>1482.5978600000001</v>
      </c>
      <c r="C19" s="48">
        <v>2097.6666666666665</v>
      </c>
      <c r="D19" s="49">
        <f>$S$26/B19</f>
        <v>1.0117375995672892E-4</v>
      </c>
      <c r="E19" s="50">
        <f>$S$26/C19</f>
        <v>7.1508024789448591E-5</v>
      </c>
      <c r="F19" s="85">
        <f t="shared" ref="F19:F43" si="0">D19*$S$22/$S$21</f>
        <v>1.3312336836411701E-4</v>
      </c>
      <c r="G19" s="86">
        <f t="shared" ref="G19:G43" si="1">D19*$S$23/$S$25</f>
        <v>0.46409981631527036</v>
      </c>
      <c r="H19" s="86">
        <f t="shared" ref="H19:H43" si="2">F19*$S$23/$S$25</f>
        <v>0.61065765304640829</v>
      </c>
      <c r="I19" s="97">
        <f t="shared" ref="I19:I43" si="3">E19/$S$23</f>
        <v>14.301604957889717</v>
      </c>
      <c r="J19" s="95">
        <f>2*$S$20*(1+$S$19)/D19/$S$23</f>
        <v>14.287303352931829</v>
      </c>
      <c r="K19" s="95">
        <f>(1/3)*(1/$AA$32)*$S$30/(1+$S$30)^2*F19*$S$23^2/$S$31/$S$23</f>
        <v>4.4390679880682493E-3</v>
      </c>
      <c r="L19" s="95">
        <f t="shared" ref="L19:L43" si="4">((1/3)*($S$30^2/(1+$S$30)^2)*F19/AM19*$S$21/(1-$S$21)*$S$23^2/$S$25)/$S$23</f>
        <v>7.3450819916606788E-3</v>
      </c>
      <c r="M19" s="95">
        <f t="shared" ref="M19:M43" si="5">I19-J19-K19-L19</f>
        <v>2.5174549781589745E-3</v>
      </c>
      <c r="N19" s="90"/>
      <c r="O19" s="112">
        <f>$S$18*$S$33*100000/$S$27/D19^2/60</f>
        <v>5641.4007517269702</v>
      </c>
      <c r="P19" s="112">
        <f>$S$18*$S$33*100000/$S$27/D19/E19</f>
        <v>478907.13845516852</v>
      </c>
      <c r="Q19" s="13" t="s">
        <v>4</v>
      </c>
      <c r="S19" s="3">
        <v>5.9</v>
      </c>
      <c r="T19" s="2" t="s">
        <v>6</v>
      </c>
      <c r="U19" t="s">
        <v>38</v>
      </c>
      <c r="AI19" s="55">
        <f t="shared" ref="AI19:AI43" si="6">E19-2*$S$20*(1+$S$19)/D19</f>
        <v>7.1508024789438481E-8</v>
      </c>
      <c r="AJ19" s="56">
        <f t="shared" ref="AJ19:AJ43" si="7">AI19/$S$23</f>
        <v>1.4301604957887695E-2</v>
      </c>
      <c r="AK19" s="55">
        <f t="shared" ref="AK19:AK43" si="8">AI19-(1/3)*(1/$AA$32)*$S$30/(1+$S$30)^2*F19*$S$23^2/$S$31</f>
        <v>4.9312684849097231E-8</v>
      </c>
      <c r="AL19" s="56">
        <f t="shared" ref="AL19:AL43" si="9">AK19/$S$23</f>
        <v>9.8625369698194451E-3</v>
      </c>
      <c r="AM19" s="59">
        <f>13/(1+2.1*H19)+8.6*H19^0.21</f>
        <v>13.449631000996611</v>
      </c>
      <c r="AN19" s="60">
        <f>AK19-((1/3)*($S$30^2/(1+$S$30)^2)*F19/AM19*$S$21/(1-$S$21)*$S$23^2/$S$25)</f>
        <v>1.2587274890793833E-8</v>
      </c>
      <c r="AO19" s="56">
        <f>AN19/$S$23</f>
        <v>2.5174549781587664E-3</v>
      </c>
      <c r="AP19" s="1">
        <f>IF(ISNUMBER(A19),D19*$S$27*$S$26/A19/100000," ")</f>
        <v>5.058687997836445E-14</v>
      </c>
    </row>
    <row r="20" spans="1:48" ht="18.75" x14ac:dyDescent="0.35">
      <c r="A20" s="94">
        <v>5.0666666666666673</v>
      </c>
      <c r="B20" s="47">
        <v>742.42782000000011</v>
      </c>
      <c r="C20" s="48">
        <v>3826.6666666666665</v>
      </c>
      <c r="D20" s="49">
        <f t="shared" ref="D20:D36" si="10">IF(B20&gt;0,$S$26/B20,D19)</f>
        <v>2.0203984274188427E-4</v>
      </c>
      <c r="E20" s="50">
        <f t="shared" ref="E20:E36" si="11">IF(C20&gt;0,$S$26/C20,E19)</f>
        <v>3.9198606271777003E-5</v>
      </c>
      <c r="F20" s="85">
        <f t="shared" si="0"/>
        <v>2.6584189834458454E-4</v>
      </c>
      <c r="G20" s="86">
        <f t="shared" si="1"/>
        <v>0.92678826945818482</v>
      </c>
      <c r="H20" s="86">
        <f t="shared" si="2"/>
        <v>1.2194582492870853</v>
      </c>
      <c r="I20" s="97">
        <f t="shared" si="3"/>
        <v>7.8397212543553998</v>
      </c>
      <c r="J20" s="96">
        <f t="shared" ref="J20:J43" si="12">2*$S$20*(1+$S$19)/D20/$S$23</f>
        <v>7.1545304146033715</v>
      </c>
      <c r="K20" s="96">
        <f t="shared" ref="K20:K43" si="13">(1/3)*(1/$AA$32)*$S$30/(1+$S$30)^2*F20*$S$23^2/$S$31/$S$23</f>
        <v>8.8646364295784218E-3</v>
      </c>
      <c r="L20" s="96">
        <f t="shared" si="4"/>
        <v>1.5636178070953057E-2</v>
      </c>
      <c r="M20" s="96">
        <f t="shared" si="5"/>
        <v>0.66069002525149678</v>
      </c>
      <c r="N20" s="90"/>
      <c r="O20" s="102">
        <f t="shared" ref="O20:O43" si="14">$S$18*$S$33*100000/$S$27/D20^2/60</f>
        <v>1414.6489733476358</v>
      </c>
      <c r="P20" s="102">
        <f t="shared" ref="P20:P43" si="15">$S$18*$S$33*100000/$S$27/D20/E20</f>
        <v>437488.19148589694</v>
      </c>
      <c r="Q20" s="13" t="s">
        <v>41</v>
      </c>
      <c r="S20" s="4">
        <f>'Deff via experiments at low F'!B7</f>
        <v>5.2373195647046857E-10</v>
      </c>
      <c r="T20" s="2" t="s">
        <v>7</v>
      </c>
      <c r="U20" t="s">
        <v>21</v>
      </c>
      <c r="AB20" s="1"/>
      <c r="AI20" s="55">
        <f t="shared" si="6"/>
        <v>3.4259541987601417E-6</v>
      </c>
      <c r="AJ20" s="56">
        <f t="shared" si="7"/>
        <v>0.68519083975202832</v>
      </c>
      <c r="AK20" s="55">
        <f t="shared" si="8"/>
        <v>3.3816310166122496E-6</v>
      </c>
      <c r="AL20" s="56">
        <f t="shared" si="9"/>
        <v>0.67632620332244986</v>
      </c>
      <c r="AM20" s="59">
        <f t="shared" ref="AM19:AM43" si="16">13/(1+2.1*H20)+8.6*H20^0.21</f>
        <v>12.616693170061113</v>
      </c>
      <c r="AN20" s="60">
        <f t="shared" ref="AN20:AN43" si="17">AK20-((1/3)*($S$30^2/(1+$S$30)^2)*F20/AM20*$S$21/(1-$S$21)*$S$23^2/$S$25)</f>
        <v>3.3034501262574844E-6</v>
      </c>
      <c r="AO20" s="56">
        <f t="shared" ref="AO20:AO43" si="18">AN20/$S$23</f>
        <v>0.66069002525149678</v>
      </c>
      <c r="AP20" s="1">
        <f t="shared" ref="AP20:AP43" si="19">IF(ISNUMBER(A20),D20*$S$27*$S$26/A20/100000," ")</f>
        <v>4.7851541702025217E-14</v>
      </c>
    </row>
    <row r="21" spans="1:48" ht="15.75" x14ac:dyDescent="0.25">
      <c r="A21" s="94">
        <v>11.599999999999996</v>
      </c>
      <c r="B21" s="47">
        <v>372.69013999999999</v>
      </c>
      <c r="C21" s="48">
        <v>6717</v>
      </c>
      <c r="D21" s="49">
        <f t="shared" si="10"/>
        <v>4.0247912112727213E-4</v>
      </c>
      <c r="E21" s="50">
        <f t="shared" si="11"/>
        <v>2.2331397945511389E-5</v>
      </c>
      <c r="F21" s="85">
        <f t="shared" si="0"/>
        <v>5.2957779095693703E-4</v>
      </c>
      <c r="G21" s="86">
        <f t="shared" si="1"/>
        <v>1.8462345005838172</v>
      </c>
      <c r="H21" s="86">
        <f t="shared" si="2"/>
        <v>2.4292559218208125</v>
      </c>
      <c r="I21" s="97">
        <f t="shared" si="3"/>
        <v>4.4662795891022773</v>
      </c>
      <c r="J21" s="96">
        <f t="shared" si="12"/>
        <v>3.5914911457019323</v>
      </c>
      <c r="K21" s="96">
        <f t="shared" si="13"/>
        <v>1.7659047002167787E-2</v>
      </c>
      <c r="L21" s="96">
        <f t="shared" si="4"/>
        <v>3.1457524466332973E-2</v>
      </c>
      <c r="M21" s="96">
        <f t="shared" si="5"/>
        <v>0.82567187193184421</v>
      </c>
      <c r="N21" s="90"/>
      <c r="O21" s="102">
        <f t="shared" si="14"/>
        <v>356.48069871981039</v>
      </c>
      <c r="P21" s="102">
        <f t="shared" si="15"/>
        <v>385491.41975706135</v>
      </c>
      <c r="Q21" s="13" t="s">
        <v>2</v>
      </c>
      <c r="S21" s="3">
        <v>0.38</v>
      </c>
      <c r="T21" s="2" t="s">
        <v>6</v>
      </c>
      <c r="U21" t="s">
        <v>8</v>
      </c>
      <c r="AI21" s="55">
        <f t="shared" si="6"/>
        <v>4.373942217001727E-6</v>
      </c>
      <c r="AJ21" s="56">
        <f t="shared" si="7"/>
        <v>0.87478844340034534</v>
      </c>
      <c r="AK21" s="55">
        <f t="shared" si="8"/>
        <v>4.2856469819908881E-6</v>
      </c>
      <c r="AL21" s="56">
        <f t="shared" si="9"/>
        <v>0.85712939639817753</v>
      </c>
      <c r="AM21" s="59">
        <f t="shared" si="16"/>
        <v>12.492746867716949</v>
      </c>
      <c r="AN21" s="60">
        <f t="shared" si="17"/>
        <v>4.1283593596592235E-6</v>
      </c>
      <c r="AO21" s="56">
        <f t="shared" si="18"/>
        <v>0.82567187193184466</v>
      </c>
      <c r="AP21" s="1">
        <f t="shared" si="19"/>
        <v>4.1635771151097141E-14</v>
      </c>
    </row>
    <row r="22" spans="1:48" ht="18" x14ac:dyDescent="0.35">
      <c r="A22" s="94">
        <v>13.133333333333333</v>
      </c>
      <c r="B22" s="47">
        <v>248.79908000000003</v>
      </c>
      <c r="C22" s="48">
        <v>8934.3333333333339</v>
      </c>
      <c r="D22" s="49">
        <f t="shared" si="10"/>
        <v>6.0289612003388432E-4</v>
      </c>
      <c r="E22" s="50">
        <f t="shared" si="11"/>
        <v>1.6789165391933738E-5</v>
      </c>
      <c r="F22" s="85">
        <f t="shared" si="0"/>
        <v>7.9328436846563724E-4</v>
      </c>
      <c r="G22" s="86">
        <f t="shared" si="1"/>
        <v>2.7655785322655246</v>
      </c>
      <c r="H22" s="86">
        <f t="shared" si="2"/>
        <v>3.6389191214020058</v>
      </c>
      <c r="I22" s="97">
        <f t="shared" si="3"/>
        <v>3.3578330783867472</v>
      </c>
      <c r="J22" s="96">
        <f t="shared" si="12"/>
        <v>2.3975941324307284</v>
      </c>
      <c r="K22" s="96">
        <f t="shared" si="13"/>
        <v>2.6452480047371923E-2</v>
      </c>
      <c r="L22" s="96">
        <f t="shared" si="4"/>
        <v>4.6047852807888187E-2</v>
      </c>
      <c r="M22" s="96">
        <f t="shared" si="5"/>
        <v>0.88773861310075874</v>
      </c>
      <c r="O22" s="102">
        <f t="shared" si="14"/>
        <v>158.86848514275883</v>
      </c>
      <c r="P22" s="102">
        <f t="shared" si="15"/>
        <v>342296.44316059089</v>
      </c>
      <c r="Q22" s="13" t="s">
        <v>3</v>
      </c>
      <c r="S22" s="3">
        <v>0.5</v>
      </c>
      <c r="T22" s="2" t="s">
        <v>6</v>
      </c>
      <c r="U22" t="s">
        <v>39</v>
      </c>
      <c r="AI22" s="55">
        <f t="shared" si="6"/>
        <v>4.801194729780095E-6</v>
      </c>
      <c r="AJ22" s="56">
        <f t="shared" si="7"/>
        <v>0.96023894595601889</v>
      </c>
      <c r="AK22" s="55">
        <f t="shared" si="8"/>
        <v>4.6689323295432354E-6</v>
      </c>
      <c r="AL22" s="56">
        <f t="shared" si="9"/>
        <v>0.933786465908647</v>
      </c>
      <c r="AM22" s="59">
        <f t="shared" si="16"/>
        <v>12.784161025188839</v>
      </c>
      <c r="AN22" s="60">
        <f t="shared" si="17"/>
        <v>4.4386930655037941E-6</v>
      </c>
      <c r="AO22" s="56">
        <f t="shared" si="18"/>
        <v>0.88773861310075874</v>
      </c>
      <c r="AP22" s="1">
        <f t="shared" si="19"/>
        <v>5.5086955129999583E-14</v>
      </c>
    </row>
    <row r="23" spans="1:48" ht="18.75" x14ac:dyDescent="0.35">
      <c r="A23" s="94">
        <v>18.066666666666666</v>
      </c>
      <c r="B23" s="47">
        <v>186.76202000000004</v>
      </c>
      <c r="C23" s="48">
        <v>10526.333333333334</v>
      </c>
      <c r="D23" s="49">
        <f t="shared" si="10"/>
        <v>8.0316115664201939E-4</v>
      </c>
      <c r="E23" s="50">
        <f t="shared" si="11"/>
        <v>1.4249976250039583E-5</v>
      </c>
      <c r="F23" s="85">
        <f t="shared" si="0"/>
        <v>1.0567909955816045E-3</v>
      </c>
      <c r="G23" s="86">
        <f t="shared" si="1"/>
        <v>3.684225489183576</v>
      </c>
      <c r="H23" s="86">
        <f t="shared" si="2"/>
        <v>4.8476651173468097</v>
      </c>
      <c r="I23" s="97">
        <f t="shared" si="3"/>
        <v>2.8499952500079164</v>
      </c>
      <c r="J23" s="96">
        <f t="shared" si="12"/>
        <v>1.7997635815731732</v>
      </c>
      <c r="K23" s="96">
        <f t="shared" si="13"/>
        <v>3.5239245642687371E-2</v>
      </c>
      <c r="L23" s="96">
        <f>((1/3)*($S$30^2/(1+$S$30)^2)*F23/AM23*$S$21/(1-$S$21)*$S$23^2/$S$25)/$S$23</f>
        <v>5.9669361575914452E-2</v>
      </c>
      <c r="M23" s="96">
        <f t="shared" si="5"/>
        <v>0.95532306121614152</v>
      </c>
      <c r="O23" s="102">
        <f t="shared" si="14"/>
        <v>89.519436419153621</v>
      </c>
      <c r="P23" s="102">
        <f t="shared" si="15"/>
        <v>302731.17443048127</v>
      </c>
      <c r="Q23" s="13" t="s">
        <v>42</v>
      </c>
      <c r="S23" s="4">
        <v>5.0000000000000004E-6</v>
      </c>
      <c r="T23" s="2" t="s">
        <v>10</v>
      </c>
      <c r="U23" t="s">
        <v>9</v>
      </c>
      <c r="AI23" s="55">
        <f t="shared" si="6"/>
        <v>5.251158342173716E-6</v>
      </c>
      <c r="AJ23" s="56">
        <f t="shared" si="7"/>
        <v>1.050231668434743</v>
      </c>
      <c r="AK23" s="55">
        <f t="shared" si="8"/>
        <v>5.0749621139602794E-6</v>
      </c>
      <c r="AL23" s="56">
        <f t="shared" si="9"/>
        <v>1.0149924227920557</v>
      </c>
      <c r="AM23" s="59">
        <f>13/(1+2.1*H23)+8.6*H23^0.21</f>
        <v>13.142876670661028</v>
      </c>
      <c r="AN23" s="60">
        <f t="shared" si="17"/>
        <v>4.7766153060807074E-6</v>
      </c>
      <c r="AO23" s="56">
        <f t="shared" si="18"/>
        <v>0.95532306121614141</v>
      </c>
      <c r="AP23" s="1">
        <f t="shared" si="19"/>
        <v>5.3346497489137812E-14</v>
      </c>
    </row>
    <row r="24" spans="1:48" ht="15.75" x14ac:dyDescent="0.25">
      <c r="A24" s="94">
        <v>24.633333333333336</v>
      </c>
      <c r="B24" s="47">
        <v>149.16837999999998</v>
      </c>
      <c r="C24" s="48">
        <v>11806.666666666666</v>
      </c>
      <c r="D24" s="49">
        <f t="shared" si="10"/>
        <v>1.005575042110131E-3</v>
      </c>
      <c r="E24" s="50">
        <f t="shared" si="11"/>
        <v>1.2704686617730096E-5</v>
      </c>
      <c r="F24" s="85">
        <f t="shared" si="0"/>
        <v>1.3231250554080671E-3</v>
      </c>
      <c r="G24" s="86">
        <f t="shared" si="1"/>
        <v>4.6127295509639037</v>
      </c>
      <c r="H24" s="86">
        <f t="shared" si="2"/>
        <v>6.0693809881103995</v>
      </c>
      <c r="I24" s="97">
        <f t="shared" si="3"/>
        <v>2.5409373235460189</v>
      </c>
      <c r="J24" s="96">
        <f t="shared" si="12"/>
        <v>1.4374861540171175</v>
      </c>
      <c r="K24" s="96">
        <f t="shared" si="13"/>
        <v>4.4120293452972359E-2</v>
      </c>
      <c r="L24" s="96">
        <f t="shared" si="4"/>
        <v>7.2704886341615205E-2</v>
      </c>
      <c r="M24" s="96">
        <f t="shared" si="5"/>
        <v>0.98662598973431381</v>
      </c>
      <c r="O24" s="102">
        <f t="shared" si="14"/>
        <v>57.107580507309443</v>
      </c>
      <c r="P24" s="102">
        <f t="shared" si="15"/>
        <v>271203.65610579145</v>
      </c>
      <c r="Q24" s="36" t="s">
        <v>23</v>
      </c>
      <c r="S24" s="3">
        <v>0</v>
      </c>
      <c r="T24" s="2" t="s">
        <v>6</v>
      </c>
      <c r="U24" t="s">
        <v>142</v>
      </c>
      <c r="AI24" s="55">
        <f t="shared" si="6"/>
        <v>5.5172558476445075E-6</v>
      </c>
      <c r="AJ24" s="56">
        <f t="shared" si="7"/>
        <v>1.1034511695289013</v>
      </c>
      <c r="AK24" s="55">
        <f t="shared" si="8"/>
        <v>5.2966543803796458E-6</v>
      </c>
      <c r="AL24" s="56">
        <f t="shared" si="9"/>
        <v>1.059330876075929</v>
      </c>
      <c r="AM24" s="59">
        <f t="shared" si="16"/>
        <v>13.504857727687195</v>
      </c>
      <c r="AN24" s="60">
        <f t="shared" si="17"/>
        <v>4.9331299486715701E-6</v>
      </c>
      <c r="AO24" s="56">
        <f t="shared" si="18"/>
        <v>0.98662598973431392</v>
      </c>
      <c r="AP24" s="1">
        <f t="shared" si="19"/>
        <v>4.8986064297651845E-14</v>
      </c>
    </row>
    <row r="25" spans="1:48" ht="18.75" x14ac:dyDescent="0.35">
      <c r="A25" s="94">
        <v>27</v>
      </c>
      <c r="B25" s="47">
        <v>124.89763999999998</v>
      </c>
      <c r="C25" s="48">
        <v>12584</v>
      </c>
      <c r="D25" s="49">
        <f t="shared" si="10"/>
        <v>1.2009834613368195E-3</v>
      </c>
      <c r="E25" s="50">
        <f t="shared" si="11"/>
        <v>1.1919898283534647E-5</v>
      </c>
      <c r="F25" s="85">
        <f t="shared" si="0"/>
        <v>1.5802413964958152E-3</v>
      </c>
      <c r="G25" s="86">
        <f t="shared" si="1"/>
        <v>5.5090984464991726</v>
      </c>
      <c r="H25" s="86">
        <f t="shared" si="2"/>
        <v>7.2488137453936483</v>
      </c>
      <c r="I25" s="97">
        <f t="shared" si="3"/>
        <v>2.3839796567069294</v>
      </c>
      <c r="J25" s="96">
        <f t="shared" si="12"/>
        <v>1.2035970905456943</v>
      </c>
      <c r="K25" s="96">
        <f t="shared" si="13"/>
        <v>5.2693971635528851E-2</v>
      </c>
      <c r="L25" s="96">
        <f t="shared" si="4"/>
        <v>8.4744882180434272E-2</v>
      </c>
      <c r="M25" s="96">
        <f t="shared" si="5"/>
        <v>1.0429437123452721</v>
      </c>
      <c r="O25" s="102">
        <f t="shared" si="14"/>
        <v>40.035815457904647</v>
      </c>
      <c r="P25" s="102">
        <f t="shared" si="15"/>
        <v>242027.32816517854</v>
      </c>
      <c r="Q25" s="13" t="s">
        <v>131</v>
      </c>
      <c r="S25" s="4">
        <v>1.09E-9</v>
      </c>
      <c r="T25" s="2" t="s">
        <v>7</v>
      </c>
      <c r="U25" t="s">
        <v>125</v>
      </c>
      <c r="AF25" s="5"/>
      <c r="AI25" s="55">
        <f t="shared" si="6"/>
        <v>5.901912830806175E-6</v>
      </c>
      <c r="AJ25" s="56">
        <f t="shared" si="7"/>
        <v>1.1803825661612348</v>
      </c>
      <c r="AK25" s="55">
        <f t="shared" si="8"/>
        <v>5.6384429726285303E-6</v>
      </c>
      <c r="AL25" s="56">
        <f t="shared" si="9"/>
        <v>1.127688594525706</v>
      </c>
      <c r="AM25" s="59">
        <f t="shared" si="16"/>
        <v>13.837660585682736</v>
      </c>
      <c r="AN25" s="60">
        <f t="shared" si="17"/>
        <v>5.2147185617263588E-6</v>
      </c>
      <c r="AO25" s="56">
        <f t="shared" si="18"/>
        <v>1.0429437123452716</v>
      </c>
      <c r="AP25" s="1">
        <f t="shared" si="19"/>
        <v>5.3377042726080866E-14</v>
      </c>
    </row>
    <row r="26" spans="1:48" ht="18.75" x14ac:dyDescent="0.35">
      <c r="A26" s="94">
        <v>31.166666666666668</v>
      </c>
      <c r="B26" s="47">
        <v>107.25394</v>
      </c>
      <c r="C26" s="48">
        <v>13141.666666666666</v>
      </c>
      <c r="D26" s="49">
        <f t="shared" si="10"/>
        <v>1.3985500206332745E-3</v>
      </c>
      <c r="E26" s="50">
        <f>IF(C26&gt;0,$S$26/C26,E25)</f>
        <v>1.1414077362079898E-5</v>
      </c>
      <c r="F26" s="85">
        <f t="shared" si="0"/>
        <v>1.840197395570098E-3</v>
      </c>
      <c r="G26" s="86">
        <f t="shared" si="1"/>
        <v>6.4153670671251133</v>
      </c>
      <c r="H26" s="86">
        <f t="shared" si="2"/>
        <v>8.4412724567435689</v>
      </c>
      <c r="I26" s="97">
        <f t="shared" si="3"/>
        <v>2.2828154724159795</v>
      </c>
      <c r="J26" s="96">
        <f t="shared" si="12"/>
        <v>1.033570611370739</v>
      </c>
      <c r="K26" s="96">
        <f t="shared" si="13"/>
        <v>6.1362339691245764E-2</v>
      </c>
      <c r="L26" s="96">
        <f t="shared" si="4"/>
        <v>9.6479000201040652E-2</v>
      </c>
      <c r="M26" s="96">
        <f t="shared" si="5"/>
        <v>1.091403521152954</v>
      </c>
      <c r="O26" s="102">
        <f t="shared" si="14"/>
        <v>29.523424046133929</v>
      </c>
      <c r="P26" s="102">
        <f t="shared" si="15"/>
        <v>217047.68944037487</v>
      </c>
      <c r="Q26" s="13" t="s">
        <v>43</v>
      </c>
      <c r="S26" s="16">
        <v>0.15</v>
      </c>
      <c r="T26" s="2" t="s">
        <v>10</v>
      </c>
      <c r="U26" t="s">
        <v>37</v>
      </c>
      <c r="AI26" s="55">
        <f t="shared" si="6"/>
        <v>6.2462243052262027E-6</v>
      </c>
      <c r="AJ26" s="56">
        <f t="shared" si="7"/>
        <v>1.2492448610452405</v>
      </c>
      <c r="AK26" s="55">
        <f t="shared" si="8"/>
        <v>5.9394126067699737E-6</v>
      </c>
      <c r="AL26" s="56">
        <f t="shared" si="9"/>
        <v>1.1878825213539947</v>
      </c>
      <c r="AM26" s="59">
        <f t="shared" si="16"/>
        <v>14.154167705340432</v>
      </c>
      <c r="AN26" s="60">
        <f t="shared" si="17"/>
        <v>5.4570176057647706E-6</v>
      </c>
      <c r="AO26" s="56">
        <f t="shared" si="18"/>
        <v>1.091403521152954</v>
      </c>
      <c r="AP26" s="1">
        <f t="shared" si="19"/>
        <v>5.3847915232938902E-14</v>
      </c>
    </row>
    <row r="27" spans="1:48" ht="15.75" x14ac:dyDescent="0.25">
      <c r="A27" s="94">
        <v>39.333333333333336</v>
      </c>
      <c r="B27" s="47">
        <v>93.747179999999986</v>
      </c>
      <c r="C27" s="48">
        <v>13675.666666666666</v>
      </c>
      <c r="D27" s="49">
        <f t="shared" si="10"/>
        <v>1.600048129447734E-3</v>
      </c>
      <c r="E27" s="50">
        <f t="shared" si="11"/>
        <v>1.0968386672191484E-5</v>
      </c>
      <c r="F27" s="85">
        <f t="shared" si="0"/>
        <v>2.1053264861154394E-3</v>
      </c>
      <c r="G27" s="86">
        <f t="shared" si="1"/>
        <v>7.3396703185675882</v>
      </c>
      <c r="H27" s="86">
        <f t="shared" si="2"/>
        <v>9.6574609454836668</v>
      </c>
      <c r="I27" s="97">
        <f t="shared" si="3"/>
        <v>2.1936773344382967</v>
      </c>
      <c r="J27" s="96">
        <f t="shared" si="12"/>
        <v>0.90341044950780092</v>
      </c>
      <c r="K27" s="96">
        <f t="shared" si="13"/>
        <v>7.0203207173853047E-2</v>
      </c>
      <c r="L27" s="96">
        <f t="shared" si="4"/>
        <v>0.10806920651438523</v>
      </c>
      <c r="M27" s="96">
        <f t="shared" si="5"/>
        <v>1.1119944712422578</v>
      </c>
      <c r="O27" s="102">
        <f t="shared" si="14"/>
        <v>22.555717129676786</v>
      </c>
      <c r="P27" s="102">
        <f t="shared" si="15"/>
        <v>197423.19858138659</v>
      </c>
      <c r="Q27" s="13" t="s">
        <v>114</v>
      </c>
      <c r="S27" s="4">
        <v>8.0000000000000004E-4</v>
      </c>
      <c r="T27" s="2" t="s">
        <v>113</v>
      </c>
      <c r="U27" t="s">
        <v>115</v>
      </c>
      <c r="AI27" s="55">
        <f t="shared" si="6"/>
        <v>6.4513344246524795E-6</v>
      </c>
      <c r="AJ27" s="56">
        <f t="shared" si="7"/>
        <v>1.2902668849304959</v>
      </c>
      <c r="AK27" s="55">
        <f t="shared" si="8"/>
        <v>6.1003183887832142E-6</v>
      </c>
      <c r="AL27" s="56">
        <f t="shared" si="9"/>
        <v>1.2200636777566427</v>
      </c>
      <c r="AM27" s="59">
        <f t="shared" si="16"/>
        <v>14.456734693579255</v>
      </c>
      <c r="AN27" s="60">
        <f t="shared" si="17"/>
        <v>5.5599723562112875E-6</v>
      </c>
      <c r="AO27" s="56">
        <f t="shared" si="18"/>
        <v>1.1119944712422574</v>
      </c>
      <c r="AP27" s="1">
        <f t="shared" si="19"/>
        <v>4.8815027678066457E-14</v>
      </c>
    </row>
    <row r="28" spans="1:48" ht="18.75" x14ac:dyDescent="0.3">
      <c r="A28" s="94">
        <v>42</v>
      </c>
      <c r="B28" s="47">
        <v>83.501639999999995</v>
      </c>
      <c r="C28" s="48">
        <v>13535.333333333334</v>
      </c>
      <c r="D28" s="49">
        <f t="shared" si="10"/>
        <v>1.7963719035937499E-3</v>
      </c>
      <c r="E28" s="50">
        <f t="shared" si="11"/>
        <v>1.108210609269566E-5</v>
      </c>
      <c r="F28" s="85">
        <f t="shared" si="0"/>
        <v>2.3636472415707235E-3</v>
      </c>
      <c r="G28" s="86">
        <f t="shared" si="1"/>
        <v>8.2402380898795879</v>
      </c>
      <c r="H28" s="86">
        <f t="shared" si="2"/>
        <v>10.842418539315247</v>
      </c>
      <c r="I28" s="97">
        <f t="shared" si="3"/>
        <v>2.2164212185391321</v>
      </c>
      <c r="J28" s="96">
        <f t="shared" si="12"/>
        <v>0.80467758205674633</v>
      </c>
      <c r="K28" s="96">
        <f t="shared" si="13"/>
        <v>7.8817047180204991E-2</v>
      </c>
      <c r="L28" s="96">
        <f t="shared" si="4"/>
        <v>0.11905067137894342</v>
      </c>
      <c r="M28" s="96">
        <f t="shared" si="5"/>
        <v>1.2138759179232375</v>
      </c>
      <c r="O28" s="102">
        <f t="shared" si="14"/>
        <v>17.894939100114918</v>
      </c>
      <c r="P28" s="102">
        <f t="shared" si="15"/>
        <v>174042.54505642442</v>
      </c>
      <c r="Q28" s="17" t="s">
        <v>107</v>
      </c>
      <c r="R28" s="17"/>
      <c r="S28" s="17"/>
      <c r="T28" s="17"/>
      <c r="U28" s="17"/>
      <c r="V28" s="17"/>
      <c r="W28" s="17"/>
      <c r="X28" s="18"/>
      <c r="Y28" s="23" t="s">
        <v>126</v>
      </c>
      <c r="Z28" s="17"/>
      <c r="AA28" s="17"/>
      <c r="AB28" s="17"/>
      <c r="AC28" s="17"/>
      <c r="AD28" s="18"/>
      <c r="AI28" s="55">
        <f t="shared" si="6"/>
        <v>7.0587181824119282E-6</v>
      </c>
      <c r="AJ28" s="56">
        <f t="shared" si="7"/>
        <v>1.4117436364823854</v>
      </c>
      <c r="AK28" s="55">
        <f t="shared" si="8"/>
        <v>6.6646329465109036E-6</v>
      </c>
      <c r="AL28" s="56">
        <f t="shared" si="9"/>
        <v>1.3329265893021807</v>
      </c>
      <c r="AM28" s="59">
        <f t="shared" si="16"/>
        <v>14.733418741428235</v>
      </c>
      <c r="AN28" s="60">
        <f t="shared" si="17"/>
        <v>6.0693795896161862E-6</v>
      </c>
      <c r="AO28" s="56">
        <f t="shared" si="18"/>
        <v>1.2138759179232372</v>
      </c>
      <c r="AP28" s="1">
        <f t="shared" si="19"/>
        <v>5.1324911531249991E-14</v>
      </c>
    </row>
    <row r="29" spans="1:48" ht="18.75" x14ac:dyDescent="0.35">
      <c r="A29" s="94">
        <v>49.333333333333336</v>
      </c>
      <c r="B29" s="47">
        <v>75.284940000000006</v>
      </c>
      <c r="C29" s="48">
        <v>13414</v>
      </c>
      <c r="D29" s="49">
        <f t="shared" si="10"/>
        <v>1.9924303585816764E-3</v>
      </c>
      <c r="E29" s="50">
        <f t="shared" si="11"/>
        <v>1.1182346801848814E-5</v>
      </c>
      <c r="F29" s="85">
        <f t="shared" si="0"/>
        <v>2.6216188928706269E-3</v>
      </c>
      <c r="G29" s="86">
        <f t="shared" si="1"/>
        <v>9.1395888008333781</v>
      </c>
      <c r="H29" s="86">
        <f t="shared" si="2"/>
        <v>12.025774737938656</v>
      </c>
      <c r="I29" s="97">
        <f t="shared" si="3"/>
        <v>2.2364693603697625</v>
      </c>
      <c r="J29" s="96">
        <f t="shared" si="12"/>
        <v>0.72549597210889782</v>
      </c>
      <c r="K29" s="96">
        <f t="shared" si="13"/>
        <v>8.7419246126841474E-2</v>
      </c>
      <c r="L29" s="96">
        <f t="shared" si="4"/>
        <v>0.129752418402828</v>
      </c>
      <c r="M29" s="96">
        <f t="shared" si="5"/>
        <v>1.2938017237311952</v>
      </c>
      <c r="O29" s="102">
        <f t="shared" si="14"/>
        <v>14.5464303373008</v>
      </c>
      <c r="P29" s="102">
        <f t="shared" si="15"/>
        <v>155509.84025056244</v>
      </c>
      <c r="Q29" s="101" t="s">
        <v>29</v>
      </c>
      <c r="R29" s="24"/>
      <c r="S29" s="119">
        <f>(1-S21)/S21*(1-S24^3)*AA34</f>
        <v>0.31578947368421051</v>
      </c>
      <c r="T29" s="27" t="s">
        <v>6</v>
      </c>
      <c r="U29" s="17" t="s">
        <v>138</v>
      </c>
      <c r="V29" s="17"/>
      <c r="W29" s="17"/>
      <c r="X29" s="18"/>
      <c r="Y29" s="29" t="s">
        <v>26</v>
      </c>
      <c r="Z29" s="30"/>
      <c r="AA29" s="122">
        <f>S20/S25</f>
        <v>0.48048803345914548</v>
      </c>
      <c r="AB29" s="31" t="s">
        <v>6</v>
      </c>
      <c r="AC29" s="17" t="s">
        <v>104</v>
      </c>
      <c r="AD29" s="18"/>
      <c r="AI29" s="55">
        <f t="shared" si="6"/>
        <v>7.5548669413043242E-6</v>
      </c>
      <c r="AJ29" s="56">
        <f t="shared" si="7"/>
        <v>1.5109733882608647</v>
      </c>
      <c r="AK29" s="55">
        <f t="shared" si="8"/>
        <v>7.1177707106701171E-6</v>
      </c>
      <c r="AL29" s="56">
        <f t="shared" si="9"/>
        <v>1.4235541421340232</v>
      </c>
      <c r="AM29" s="59">
        <f t="shared" si="16"/>
        <v>14.993630933213586</v>
      </c>
      <c r="AN29" s="60">
        <f t="shared" si="17"/>
        <v>6.469008618655977E-6</v>
      </c>
      <c r="AO29" s="56">
        <f t="shared" si="18"/>
        <v>1.2938017237311954</v>
      </c>
      <c r="AP29" s="1">
        <f t="shared" si="19"/>
        <v>4.8464522235770496E-14</v>
      </c>
    </row>
    <row r="30" spans="1:48" ht="18" x14ac:dyDescent="0.35">
      <c r="A30" s="94">
        <v>43.666666666666664</v>
      </c>
      <c r="B30" s="47">
        <v>83.706159999999997</v>
      </c>
      <c r="C30" s="48">
        <v>13634.666666666666</v>
      </c>
      <c r="D30" s="49">
        <f t="shared" si="10"/>
        <v>1.7919828122565889E-3</v>
      </c>
      <c r="E30" s="50">
        <f t="shared" si="11"/>
        <v>1.1001369059260708E-5</v>
      </c>
      <c r="F30" s="85">
        <f t="shared" si="0"/>
        <v>2.3578721213902486E-3</v>
      </c>
      <c r="G30" s="86">
        <f t="shared" si="1"/>
        <v>8.2201046433788498</v>
      </c>
      <c r="H30" s="86">
        <f t="shared" si="2"/>
        <v>10.815927162340591</v>
      </c>
      <c r="I30" s="97">
        <f t="shared" si="3"/>
        <v>2.2002738118521417</v>
      </c>
      <c r="J30" s="96">
        <f t="shared" si="12"/>
        <v>0.8066484733959135</v>
      </c>
      <c r="K30" s="96">
        <f t="shared" si="13"/>
        <v>7.862447279273703E-2</v>
      </c>
      <c r="L30" s="96">
        <f t="shared" si="4"/>
        <v>0.11880820077015435</v>
      </c>
      <c r="M30" s="96">
        <f t="shared" si="5"/>
        <v>1.1961926648933368</v>
      </c>
      <c r="O30" s="102">
        <f t="shared" si="14"/>
        <v>17.982706358236673</v>
      </c>
      <c r="P30" s="102">
        <f t="shared" si="15"/>
        <v>175749.22105549052</v>
      </c>
      <c r="Q30" s="92" t="s">
        <v>5</v>
      </c>
      <c r="R30" s="25"/>
      <c r="S30" s="120">
        <f>S19+(1+S19)*S29</f>
        <v>8.0789473684210531</v>
      </c>
      <c r="T30" s="28" t="s">
        <v>6</v>
      </c>
      <c r="U30" s="19" t="s">
        <v>12</v>
      </c>
      <c r="V30" s="19"/>
      <c r="W30" s="19"/>
      <c r="X30" s="20"/>
      <c r="Y30" s="32" t="s">
        <v>30</v>
      </c>
      <c r="Z30" s="33"/>
      <c r="AA30" s="121">
        <f>(1/(1-S21))*((AA29*S22*(1+S19))-1)/(2+AA29*S22*(1+S19))</f>
        <v>0.29001419168854348</v>
      </c>
      <c r="AB30" s="34" t="s">
        <v>6</v>
      </c>
      <c r="AC30" s="19"/>
      <c r="AD30" s="20"/>
      <c r="AI30" s="55">
        <f t="shared" si="6"/>
        <v>6.9681266922811405E-6</v>
      </c>
      <c r="AJ30" s="56">
        <f t="shared" si="7"/>
        <v>1.393625338456228</v>
      </c>
      <c r="AK30" s="55">
        <f t="shared" si="8"/>
        <v>6.5750043283174554E-6</v>
      </c>
      <c r="AL30" s="56">
        <f t="shared" si="9"/>
        <v>1.3150008656634911</v>
      </c>
      <c r="AM30" s="59">
        <f t="shared" si="16"/>
        <v>14.727415790196696</v>
      </c>
      <c r="AN30" s="60">
        <f t="shared" si="17"/>
        <v>5.9809633244666833E-6</v>
      </c>
      <c r="AO30" s="56">
        <f t="shared" si="18"/>
        <v>1.1961926648933365</v>
      </c>
      <c r="AP30" s="1">
        <f t="shared" si="19"/>
        <v>4.9245329191784127E-14</v>
      </c>
    </row>
    <row r="31" spans="1:48" ht="18.75" x14ac:dyDescent="0.35">
      <c r="A31" s="94">
        <v>50.666666666666664</v>
      </c>
      <c r="B31" s="47">
        <v>75.487319999999997</v>
      </c>
      <c r="C31" s="48">
        <v>13379.333333333334</v>
      </c>
      <c r="D31" s="49">
        <f t="shared" si="10"/>
        <v>1.987088692511537E-3</v>
      </c>
      <c r="E31" s="50">
        <f t="shared" si="11"/>
        <v>1.121132094274752E-5</v>
      </c>
      <c r="F31" s="85">
        <f t="shared" si="0"/>
        <v>2.6145903848836011E-3</v>
      </c>
      <c r="G31" s="86">
        <f t="shared" si="1"/>
        <v>9.1150857454657679</v>
      </c>
      <c r="H31" s="86">
        <f t="shared" si="2"/>
        <v>11.993533875612851</v>
      </c>
      <c r="I31" s="97">
        <f t="shared" si="3"/>
        <v>2.2422641885495036</v>
      </c>
      <c r="J31" s="96">
        <f t="shared" si="12"/>
        <v>0.72744624097854693</v>
      </c>
      <c r="K31" s="96">
        <f t="shared" si="13"/>
        <v>8.7184876870771033E-2</v>
      </c>
      <c r="L31" s="96">
        <f t="shared" si="4"/>
        <v>0.12946405692227544</v>
      </c>
      <c r="M31" s="96">
        <f t="shared" si="5"/>
        <v>1.2981690137779103</v>
      </c>
      <c r="O31" s="102">
        <f t="shared" si="14"/>
        <v>14.624742505907408</v>
      </c>
      <c r="P31" s="102">
        <f t="shared" si="15"/>
        <v>155524.90529591235</v>
      </c>
      <c r="Q31" s="92" t="s">
        <v>28</v>
      </c>
      <c r="R31" s="25"/>
      <c r="S31" s="26">
        <f>(2+S24^3)/2*AA33*S25</f>
        <v>4.8988600499000853E-10</v>
      </c>
      <c r="T31" s="28" t="s">
        <v>44</v>
      </c>
      <c r="U31" s="19" t="s">
        <v>24</v>
      </c>
      <c r="V31" s="19"/>
      <c r="W31" s="19"/>
      <c r="X31" s="20"/>
      <c r="Y31" s="32" t="s">
        <v>31</v>
      </c>
      <c r="Z31" s="33"/>
      <c r="AA31" s="121">
        <f>(1+2*AA30)/(1-AA30)</f>
        <v>2.2254365719433653</v>
      </c>
      <c r="AB31" s="34" t="s">
        <v>6</v>
      </c>
      <c r="AC31" s="19"/>
      <c r="AD31" s="20"/>
      <c r="AI31" s="55">
        <f t="shared" si="6"/>
        <v>7.5740897378547854E-6</v>
      </c>
      <c r="AJ31" s="56">
        <f t="shared" si="7"/>
        <v>1.5148179475709569</v>
      </c>
      <c r="AK31" s="55">
        <f t="shared" si="8"/>
        <v>7.1381653535009299E-6</v>
      </c>
      <c r="AL31" s="56">
        <f t="shared" si="9"/>
        <v>1.4276330707001859</v>
      </c>
      <c r="AM31" s="59">
        <f t="shared" si="16"/>
        <v>14.986739804166412</v>
      </c>
      <c r="AN31" s="60">
        <f t="shared" si="17"/>
        <v>6.4908450688895525E-6</v>
      </c>
      <c r="AO31" s="56">
        <f t="shared" si="18"/>
        <v>1.2981690137779105</v>
      </c>
      <c r="AP31" s="1">
        <f t="shared" si="19"/>
        <v>4.7062626927904819E-14</v>
      </c>
    </row>
    <row r="32" spans="1:48" ht="18.75" x14ac:dyDescent="0.35">
      <c r="A32" s="94">
        <v>64.5</v>
      </c>
      <c r="B32" s="47">
        <v>68.747019999999992</v>
      </c>
      <c r="C32" s="48">
        <v>13279</v>
      </c>
      <c r="D32" s="49">
        <f t="shared" si="10"/>
        <v>2.181912757818448E-3</v>
      </c>
      <c r="E32" s="50">
        <f t="shared" si="11"/>
        <v>1.1296031327660214E-5</v>
      </c>
      <c r="F32" s="85">
        <f t="shared" si="0"/>
        <v>2.8709378392348002E-3</v>
      </c>
      <c r="G32" s="86">
        <f t="shared" si="1"/>
        <v>10.008774118433248</v>
      </c>
      <c r="H32" s="86">
        <f t="shared" si="2"/>
        <v>13.169439629517434</v>
      </c>
      <c r="I32" s="97">
        <f t="shared" si="3"/>
        <v>2.2592062655320428</v>
      </c>
      <c r="J32" s="96">
        <f t="shared" si="12"/>
        <v>0.66249220766450556</v>
      </c>
      <c r="K32" s="96">
        <f t="shared" si="13"/>
        <v>9.5732916125011572E-2</v>
      </c>
      <c r="L32" s="96">
        <f t="shared" si="4"/>
        <v>0.13987403751156663</v>
      </c>
      <c r="M32" s="96">
        <f t="shared" si="5"/>
        <v>1.3611071042309593</v>
      </c>
      <c r="O32" s="102">
        <f t="shared" si="14"/>
        <v>12.129641607678652</v>
      </c>
      <c r="P32" s="102">
        <f t="shared" si="15"/>
        <v>140575.84829861557</v>
      </c>
      <c r="Q32" s="92" t="s">
        <v>86</v>
      </c>
      <c r="R32" s="25"/>
      <c r="S32" s="67">
        <f>S31/S25</f>
        <v>0.44943670182569589</v>
      </c>
      <c r="T32" s="28" t="s">
        <v>6</v>
      </c>
      <c r="U32" s="19" t="s">
        <v>25</v>
      </c>
      <c r="V32" s="19"/>
      <c r="W32" s="19"/>
      <c r="X32" s="20"/>
      <c r="Y32" s="32" t="s">
        <v>141</v>
      </c>
      <c r="Z32" s="33"/>
      <c r="AA32" s="33">
        <f>(4/3)*(1-S24^3)/((2/15)-((2/3)*S24^3)+((6/5)*S24^5)-((2/3)*S24^6))</f>
        <v>10</v>
      </c>
      <c r="AB32" s="34" t="s">
        <v>6</v>
      </c>
      <c r="AC32" s="19"/>
      <c r="AD32" s="20"/>
      <c r="AI32" s="55">
        <f t="shared" si="6"/>
        <v>7.9835702893376868E-6</v>
      </c>
      <c r="AJ32" s="56">
        <f t="shared" si="7"/>
        <v>1.5967140578675372</v>
      </c>
      <c r="AK32" s="55">
        <f t="shared" si="8"/>
        <v>7.504905708712629E-6</v>
      </c>
      <c r="AL32" s="56">
        <f t="shared" si="9"/>
        <v>1.5009811417425256</v>
      </c>
      <c r="AM32" s="59">
        <f t="shared" si="16"/>
        <v>15.231385071426848</v>
      </c>
      <c r="AN32" s="60">
        <f t="shared" si="17"/>
        <v>6.805535521154796E-6</v>
      </c>
      <c r="AO32" s="56">
        <f t="shared" si="18"/>
        <v>1.361107104230959</v>
      </c>
      <c r="AP32" s="1">
        <f t="shared" si="19"/>
        <v>4.0593725726854846E-14</v>
      </c>
    </row>
    <row r="33" spans="1:42" ht="18.75" x14ac:dyDescent="0.35">
      <c r="A33" s="94">
        <v>69.166666666666671</v>
      </c>
      <c r="B33" s="47">
        <v>63.149900000000009</v>
      </c>
      <c r="C33" s="48">
        <v>13138.333333333334</v>
      </c>
      <c r="D33" s="49">
        <f t="shared" si="10"/>
        <v>2.3753006734769174E-3</v>
      </c>
      <c r="E33" s="50">
        <f t="shared" si="11"/>
        <v>1.141697323354053E-5</v>
      </c>
      <c r="F33" s="85">
        <f t="shared" si="0"/>
        <v>3.1253956229959439E-3</v>
      </c>
      <c r="G33" s="86">
        <f t="shared" si="1"/>
        <v>10.895874648976687</v>
      </c>
      <c r="H33" s="86">
        <f t="shared" si="2"/>
        <v>14.336677169706167</v>
      </c>
      <c r="I33" s="97">
        <f t="shared" si="3"/>
        <v>2.2833946467081057</v>
      </c>
      <c r="J33" s="96">
        <f t="shared" si="12"/>
        <v>0.60855462047362585</v>
      </c>
      <c r="K33" s="96">
        <f t="shared" si="13"/>
        <v>0.10421794333014767</v>
      </c>
      <c r="L33" s="96">
        <f t="shared" si="4"/>
        <v>0.15000471784726305</v>
      </c>
      <c r="M33" s="96">
        <f t="shared" si="5"/>
        <v>1.420617365057069</v>
      </c>
      <c r="O33" s="102">
        <f t="shared" si="14"/>
        <v>10.234945833279566</v>
      </c>
      <c r="P33" s="102">
        <f t="shared" si="15"/>
        <v>127762.79614653834</v>
      </c>
      <c r="Q33" s="92" t="s">
        <v>135</v>
      </c>
      <c r="R33" s="25"/>
      <c r="S33" s="26">
        <f>AVERAGE(AP19:AP43)</f>
        <v>4.6196887844551557E-14</v>
      </c>
      <c r="T33" s="28" t="s">
        <v>110</v>
      </c>
      <c r="U33" s="93" t="s">
        <v>111</v>
      </c>
      <c r="V33" s="19"/>
      <c r="W33" s="19"/>
      <c r="X33" s="20"/>
      <c r="Y33" s="91" t="s">
        <v>27</v>
      </c>
      <c r="Z33" s="33"/>
      <c r="AA33" s="33">
        <f>(AA31*(1-S21))/(S22*(1+S19)-S21)</f>
        <v>0.44943670182569589</v>
      </c>
      <c r="AB33" s="34" t="s">
        <v>6</v>
      </c>
      <c r="AC33" s="19"/>
      <c r="AD33" s="20"/>
      <c r="AI33" s="55">
        <f t="shared" si="6"/>
        <v>8.3742001311724E-6</v>
      </c>
      <c r="AJ33" s="56">
        <f t="shared" si="7"/>
        <v>1.6748400262344798</v>
      </c>
      <c r="AK33" s="55">
        <f t="shared" si="8"/>
        <v>7.8531104145216615E-6</v>
      </c>
      <c r="AL33" s="56">
        <f t="shared" si="9"/>
        <v>1.5706220829043323</v>
      </c>
      <c r="AM33" s="59">
        <f t="shared" si="16"/>
        <v>15.461541868022222</v>
      </c>
      <c r="AN33" s="60">
        <f t="shared" si="17"/>
        <v>7.1030868252853465E-6</v>
      </c>
      <c r="AO33" s="56">
        <f t="shared" si="18"/>
        <v>1.4206173650570693</v>
      </c>
      <c r="AP33" s="1">
        <f t="shared" si="19"/>
        <v>4.1210035780804346E-14</v>
      </c>
    </row>
    <row r="34" spans="1:42" ht="18.75" x14ac:dyDescent="0.35">
      <c r="A34" s="94">
        <v>77.333333333333329</v>
      </c>
      <c r="B34" s="47">
        <v>58.39546</v>
      </c>
      <c r="C34" s="48">
        <v>12899</v>
      </c>
      <c r="D34" s="49">
        <f t="shared" si="10"/>
        <v>2.5686928401625741E-3</v>
      </c>
      <c r="E34" s="50">
        <f t="shared" si="11"/>
        <v>1.1628808434762384E-5</v>
      </c>
      <c r="F34" s="85">
        <f t="shared" si="0"/>
        <v>3.3798590002139133E-3</v>
      </c>
      <c r="G34" s="86">
        <f t="shared" si="1"/>
        <v>11.782994679644837</v>
      </c>
      <c r="H34" s="86">
        <f t="shared" si="2"/>
        <v>15.503940367953732</v>
      </c>
      <c r="I34" s="97">
        <f t="shared" si="3"/>
        <v>2.3257616869524766</v>
      </c>
      <c r="J34" s="96">
        <f t="shared" si="12"/>
        <v>0.562737660672191</v>
      </c>
      <c r="K34" s="96">
        <f t="shared" si="13"/>
        <v>0.11270315705201213</v>
      </c>
      <c r="L34" s="96">
        <f t="shared" si="4"/>
        <v>0.15995430085924287</v>
      </c>
      <c r="M34" s="96">
        <f t="shared" si="5"/>
        <v>1.4903665683690308</v>
      </c>
      <c r="O34" s="102">
        <f t="shared" si="14"/>
        <v>8.7518201023996927</v>
      </c>
      <c r="P34" s="102">
        <f t="shared" si="15"/>
        <v>115991.6139037387</v>
      </c>
      <c r="Q34" s="92" t="s">
        <v>116</v>
      </c>
      <c r="R34" s="25"/>
      <c r="S34" s="118">
        <f>S23^2/S33</f>
        <v>541.16199524354965</v>
      </c>
      <c r="T34" s="28" t="s">
        <v>6</v>
      </c>
      <c r="U34" s="21" t="s">
        <v>117</v>
      </c>
      <c r="V34" s="21"/>
      <c r="W34" s="21"/>
      <c r="X34" s="22"/>
      <c r="Y34" s="123" t="s">
        <v>143</v>
      </c>
      <c r="Z34" s="124"/>
      <c r="AA34" s="124">
        <f>(S22-S21)/((1-S21)*(1-S24))</f>
        <v>0.19354838709677419</v>
      </c>
      <c r="AB34" s="125" t="s">
        <v>6</v>
      </c>
      <c r="AC34" s="21"/>
      <c r="AD34" s="22"/>
      <c r="AI34" s="55">
        <f t="shared" si="6"/>
        <v>8.8151201314014284E-6</v>
      </c>
      <c r="AJ34" s="56">
        <f t="shared" si="7"/>
        <v>1.7630240262802854</v>
      </c>
      <c r="AK34" s="55">
        <f t="shared" si="8"/>
        <v>8.2516043461413675E-6</v>
      </c>
      <c r="AL34" s="56">
        <f t="shared" si="9"/>
        <v>1.6503208692282734</v>
      </c>
      <c r="AM34" s="59">
        <f t="shared" si="16"/>
        <v>15.680336579241876</v>
      </c>
      <c r="AN34" s="60">
        <f t="shared" si="17"/>
        <v>7.4518328418451529E-6</v>
      </c>
      <c r="AO34" s="56">
        <f t="shared" si="18"/>
        <v>1.4903665683690304</v>
      </c>
      <c r="AP34" s="1">
        <f t="shared" si="19"/>
        <v>3.9859026830108913E-14</v>
      </c>
    </row>
    <row r="35" spans="1:42" ht="18.75" x14ac:dyDescent="0.3">
      <c r="A35" s="94">
        <v>79</v>
      </c>
      <c r="B35" s="47">
        <v>54.349189999999993</v>
      </c>
      <c r="C35" s="48">
        <v>12663.333333333334</v>
      </c>
      <c r="D35" s="49">
        <f t="shared" si="10"/>
        <v>2.7599307367782299E-3</v>
      </c>
      <c r="E35" s="50">
        <f t="shared" si="11"/>
        <v>1.184522242695446E-5</v>
      </c>
      <c r="F35" s="85">
        <f t="shared" si="0"/>
        <v>3.6314878115503023E-3</v>
      </c>
      <c r="G35" s="86">
        <f t="shared" si="1"/>
        <v>12.660232737514818</v>
      </c>
      <c r="H35" s="86">
        <f t="shared" si="2"/>
        <v>16.658200970414232</v>
      </c>
      <c r="I35" s="97">
        <f t="shared" si="3"/>
        <v>2.3690444853908916</v>
      </c>
      <c r="J35" s="96">
        <f t="shared" si="12"/>
        <v>0.52374510004764818</v>
      </c>
      <c r="K35" s="96">
        <f t="shared" si="13"/>
        <v>0.1210938506996055</v>
      </c>
      <c r="L35" s="96">
        <f t="shared" si="4"/>
        <v>0.1696314182654787</v>
      </c>
      <c r="M35" s="96">
        <f t="shared" si="5"/>
        <v>1.554574116378159</v>
      </c>
      <c r="O35" s="102">
        <f t="shared" si="14"/>
        <v>7.5809977203846151</v>
      </c>
      <c r="P35" s="102">
        <f t="shared" si="15"/>
        <v>105982.11432310641</v>
      </c>
      <c r="R35" s="44"/>
      <c r="S35" s="44"/>
      <c r="T35" s="44"/>
      <c r="U35" s="44"/>
      <c r="V35" s="44"/>
      <c r="AH35" s="42"/>
      <c r="AI35" s="55">
        <f t="shared" si="6"/>
        <v>9.2264969267162195E-6</v>
      </c>
      <c r="AJ35" s="56">
        <f t="shared" si="7"/>
        <v>1.8452993853432438</v>
      </c>
      <c r="AK35" s="55">
        <f t="shared" si="8"/>
        <v>8.6210276732181915E-6</v>
      </c>
      <c r="AL35" s="56">
        <f t="shared" si="9"/>
        <v>1.7242055346436382</v>
      </c>
      <c r="AM35" s="59">
        <f t="shared" si="16"/>
        <v>15.886602065815213</v>
      </c>
      <c r="AN35" s="60">
        <f t="shared" si="17"/>
        <v>7.7728705818907971E-6</v>
      </c>
      <c r="AO35" s="56">
        <f t="shared" si="18"/>
        <v>1.5545741163781592</v>
      </c>
      <c r="AP35" s="1">
        <f t="shared" si="19"/>
        <v>4.1922998533340202E-14</v>
      </c>
    </row>
    <row r="36" spans="1:42" ht="18.75" x14ac:dyDescent="0.3">
      <c r="A36" s="94">
        <v>90.333333333333329</v>
      </c>
      <c r="B36" s="47">
        <v>50.853079999999991</v>
      </c>
      <c r="C36" s="48">
        <v>12577.666666666666</v>
      </c>
      <c r="D36" s="49">
        <f t="shared" si="10"/>
        <v>2.9496738447307423E-3</v>
      </c>
      <c r="E36" s="50">
        <f t="shared" si="11"/>
        <v>1.1925900405480613E-5</v>
      </c>
      <c r="F36" s="85">
        <f t="shared" si="0"/>
        <v>3.8811497956983449E-3</v>
      </c>
      <c r="G36" s="86">
        <f t="shared" si="1"/>
        <v>13.530613966654782</v>
      </c>
      <c r="H36" s="86">
        <f t="shared" si="2"/>
        <v>17.803439429808925</v>
      </c>
      <c r="I36" s="97">
        <f t="shared" si="3"/>
        <v>2.3851800810961223</v>
      </c>
      <c r="J36" s="96">
        <f t="shared" si="12"/>
        <v>0.49005424868946629</v>
      </c>
      <c r="K36" s="96">
        <f t="shared" si="13"/>
        <v>0.12941895947117643</v>
      </c>
      <c r="L36" s="96">
        <f t="shared" si="4"/>
        <v>0.17908779004641115</v>
      </c>
      <c r="M36" s="96">
        <f t="shared" si="5"/>
        <v>1.5866190828890685</v>
      </c>
      <c r="O36" s="102">
        <f t="shared" si="14"/>
        <v>6.6370446275686934</v>
      </c>
      <c r="P36" s="102">
        <f t="shared" si="15"/>
        <v>98493.780487651704</v>
      </c>
      <c r="Q36" s="35" t="s">
        <v>40</v>
      </c>
      <c r="R36" s="108"/>
      <c r="S36" s="44"/>
      <c r="T36" s="44"/>
      <c r="U36" s="44"/>
      <c r="V36" s="44"/>
      <c r="AI36" s="55">
        <f t="shared" si="6"/>
        <v>9.4756291620332817E-6</v>
      </c>
      <c r="AJ36" s="56">
        <f t="shared" si="7"/>
        <v>1.8951258324066562</v>
      </c>
      <c r="AK36" s="55">
        <f t="shared" si="8"/>
        <v>8.8285343646773993E-6</v>
      </c>
      <c r="AL36" s="56">
        <f t="shared" si="9"/>
        <v>1.7657068729354797</v>
      </c>
      <c r="AM36" s="59">
        <f t="shared" si="16"/>
        <v>16.082262528080367</v>
      </c>
      <c r="AN36" s="60">
        <f t="shared" si="17"/>
        <v>7.9330954144453437E-6</v>
      </c>
      <c r="AO36" s="56">
        <f t="shared" si="18"/>
        <v>1.5866190828890685</v>
      </c>
      <c r="AP36" s="1">
        <f t="shared" si="19"/>
        <v>3.9183859191995103E-14</v>
      </c>
    </row>
    <row r="37" spans="1:42" x14ac:dyDescent="0.25">
      <c r="A37" s="47">
        <v>99.833333333333329</v>
      </c>
      <c r="B37" s="47">
        <v>47.314269999999993</v>
      </c>
      <c r="C37" s="48">
        <v>11930.666666666666</v>
      </c>
      <c r="D37" s="49">
        <f>IF(B37&gt;0,$S$26/B37,D36)</f>
        <v>3.1702909080072463E-3</v>
      </c>
      <c r="E37" s="50">
        <f>IF(C37&gt;0,$S$26/C37,E36)</f>
        <v>1.2572641931157801E-5</v>
      </c>
      <c r="F37" s="85">
        <f t="shared" si="0"/>
        <v>4.1714354052726924E-3</v>
      </c>
      <c r="G37" s="86">
        <f t="shared" si="1"/>
        <v>14.542618844069938</v>
      </c>
      <c r="H37" s="86">
        <f t="shared" si="2"/>
        <v>19.135024794828865</v>
      </c>
      <c r="I37" s="97">
        <f t="shared" si="3"/>
        <v>2.5145283862315599</v>
      </c>
      <c r="J37" s="96">
        <f t="shared" si="12"/>
        <v>0.45595191160772469</v>
      </c>
      <c r="K37" s="96">
        <f t="shared" si="13"/>
        <v>0.13909868417085361</v>
      </c>
      <c r="L37" s="96">
        <f t="shared" si="4"/>
        <v>0.18991644140344496</v>
      </c>
      <c r="M37" s="96">
        <f t="shared" si="5"/>
        <v>1.7295613490495367</v>
      </c>
      <c r="O37" s="102">
        <f t="shared" si="14"/>
        <v>5.7454559851174247</v>
      </c>
      <c r="P37" s="102">
        <f t="shared" si="15"/>
        <v>86925.724784223799</v>
      </c>
      <c r="Q37" t="s">
        <v>98</v>
      </c>
      <c r="AI37" s="55">
        <f t="shared" si="6"/>
        <v>1.0292882373119177E-5</v>
      </c>
      <c r="AJ37" s="56">
        <f t="shared" si="7"/>
        <v>2.0585764746238353</v>
      </c>
      <c r="AK37" s="55">
        <f t="shared" si="8"/>
        <v>9.5973889522649099E-6</v>
      </c>
      <c r="AL37" s="56">
        <f t="shared" si="9"/>
        <v>1.9194777904529818</v>
      </c>
      <c r="AM37" s="59">
        <f t="shared" si="16"/>
        <v>16.299552401859724</v>
      </c>
      <c r="AN37" s="60">
        <f t="shared" si="17"/>
        <v>8.647806745247685E-6</v>
      </c>
      <c r="AO37" s="56">
        <f t="shared" si="18"/>
        <v>1.729561349049537</v>
      </c>
      <c r="AP37" s="1">
        <f t="shared" si="19"/>
        <v>3.8107002567032012E-14</v>
      </c>
    </row>
    <row r="38" spans="1:42" ht="18.75" x14ac:dyDescent="0.3">
      <c r="A38" s="94">
        <v>123</v>
      </c>
      <c r="B38" s="47">
        <v>43.775460000000002</v>
      </c>
      <c r="C38" s="48">
        <v>11406.333333333334</v>
      </c>
      <c r="D38" s="49">
        <f>IF(B38&gt;0,$S$26/B38,D37)</f>
        <v>3.4265773563544504E-3</v>
      </c>
      <c r="E38" s="50">
        <f>IF(C38&gt;0,$S$26/C38,E37)</f>
        <v>1.3150588854145357E-5</v>
      </c>
      <c r="F38" s="85">
        <f t="shared" si="0"/>
        <v>4.5086544162558561E-3</v>
      </c>
      <c r="G38" s="86">
        <f t="shared" si="1"/>
        <v>15.7182447539195</v>
      </c>
      <c r="H38" s="86">
        <f t="shared" si="2"/>
        <v>20.681900991999342</v>
      </c>
      <c r="I38" s="97">
        <f t="shared" si="3"/>
        <v>2.6301177708290711</v>
      </c>
      <c r="J38" s="96">
        <f t="shared" si="12"/>
        <v>0.42184957452598326</v>
      </c>
      <c r="K38" s="96">
        <f t="shared" si="13"/>
        <v>0.1503434275620289</v>
      </c>
      <c r="L38" s="96">
        <f t="shared" si="4"/>
        <v>0.20229067325696071</v>
      </c>
      <c r="M38" s="96">
        <f t="shared" si="5"/>
        <v>1.8556340954840984</v>
      </c>
      <c r="O38" s="102">
        <f t="shared" si="14"/>
        <v>4.9181486501231255</v>
      </c>
      <c r="P38" s="102">
        <f t="shared" si="15"/>
        <v>76889.713395844723</v>
      </c>
      <c r="Q38" t="s">
        <v>99</v>
      </c>
      <c r="R38" s="109"/>
      <c r="AE38" s="19"/>
      <c r="AF38" s="19"/>
      <c r="AG38" s="19"/>
      <c r="AH38" s="19"/>
      <c r="AI38" s="55">
        <f t="shared" si="6"/>
        <v>1.1041340981515442E-5</v>
      </c>
      <c r="AJ38" s="56">
        <f t="shared" si="7"/>
        <v>2.2082681963030879</v>
      </c>
      <c r="AK38" s="55">
        <f t="shared" si="8"/>
        <v>1.0289623843705297E-5</v>
      </c>
      <c r="AL38" s="56">
        <f t="shared" si="9"/>
        <v>2.0579247687410591</v>
      </c>
      <c r="AM38" s="59">
        <f t="shared" si="16"/>
        <v>16.539554526216623</v>
      </c>
      <c r="AN38" s="60">
        <f t="shared" si="17"/>
        <v>9.2781704774204933E-6</v>
      </c>
      <c r="AO38" s="56">
        <f t="shared" si="18"/>
        <v>1.8556340954840984</v>
      </c>
      <c r="AP38" s="1">
        <f>IF(ISNUMBER(A38),D38*$S$27*$S$26/A38/100000," ")</f>
        <v>3.3430022988823903E-14</v>
      </c>
    </row>
    <row r="39" spans="1:42" x14ac:dyDescent="0.25">
      <c r="A39" s="94"/>
      <c r="B39" s="47"/>
      <c r="C39" s="48"/>
      <c r="D39" s="49">
        <f t="shared" ref="D39:D43" si="20">IF(B39&gt;0,$S$26/B39,D38)</f>
        <v>3.4265773563544504E-3</v>
      </c>
      <c r="E39" s="50">
        <f t="shared" ref="E39:E43" si="21">IF(C39&gt;0,$S$26/C39,E38)</f>
        <v>1.3150588854145357E-5</v>
      </c>
      <c r="F39" s="85">
        <f t="shared" si="0"/>
        <v>4.5086544162558561E-3</v>
      </c>
      <c r="G39" s="86">
        <f t="shared" si="1"/>
        <v>15.7182447539195</v>
      </c>
      <c r="H39" s="86">
        <f t="shared" si="2"/>
        <v>20.681900991999342</v>
      </c>
      <c r="I39" s="97">
        <f t="shared" si="3"/>
        <v>2.6301177708290711</v>
      </c>
      <c r="J39" s="96">
        <f t="shared" si="12"/>
        <v>0.42184957452598326</v>
      </c>
      <c r="K39" s="96">
        <f t="shared" si="13"/>
        <v>0.1503434275620289</v>
      </c>
      <c r="L39" s="96">
        <f t="shared" si="4"/>
        <v>0.20229067325696071</v>
      </c>
      <c r="M39" s="96">
        <f t="shared" si="5"/>
        <v>1.8556340954840984</v>
      </c>
      <c r="O39" s="102">
        <f t="shared" si="14"/>
        <v>4.9181486501231255</v>
      </c>
      <c r="P39" s="102">
        <f t="shared" si="15"/>
        <v>76889.713395844723</v>
      </c>
      <c r="Q39" t="s">
        <v>100</v>
      </c>
      <c r="R39" s="1"/>
      <c r="AE39" s="19"/>
      <c r="AF39" s="19"/>
      <c r="AG39" s="19"/>
      <c r="AH39" s="19"/>
      <c r="AI39" s="55">
        <f t="shared" si="6"/>
        <v>1.1041340981515442E-5</v>
      </c>
      <c r="AJ39" s="56">
        <f t="shared" si="7"/>
        <v>2.2082681963030879</v>
      </c>
      <c r="AK39" s="55">
        <f t="shared" si="8"/>
        <v>1.0289623843705297E-5</v>
      </c>
      <c r="AL39" s="56">
        <f t="shared" si="9"/>
        <v>2.0579247687410591</v>
      </c>
      <c r="AM39" s="59">
        <f t="shared" si="16"/>
        <v>16.539554526216623</v>
      </c>
      <c r="AN39" s="60">
        <f t="shared" si="17"/>
        <v>9.2781704774204933E-6</v>
      </c>
      <c r="AO39" s="56">
        <f t="shared" si="18"/>
        <v>1.8556340954840984</v>
      </c>
      <c r="AP39" s="1" t="str">
        <f t="shared" si="19"/>
        <v xml:space="preserve"> </v>
      </c>
    </row>
    <row r="40" spans="1:42" x14ac:dyDescent="0.25">
      <c r="A40" s="94"/>
      <c r="B40" s="47"/>
      <c r="C40" s="48"/>
      <c r="D40" s="49">
        <f t="shared" si="20"/>
        <v>3.4265773563544504E-3</v>
      </c>
      <c r="E40" s="50">
        <f t="shared" si="21"/>
        <v>1.3150588854145357E-5</v>
      </c>
      <c r="F40" s="85">
        <f t="shared" si="0"/>
        <v>4.5086544162558561E-3</v>
      </c>
      <c r="G40" s="86">
        <f t="shared" si="1"/>
        <v>15.7182447539195</v>
      </c>
      <c r="H40" s="86">
        <f t="shared" si="2"/>
        <v>20.681900991999342</v>
      </c>
      <c r="I40" s="97">
        <f t="shared" si="3"/>
        <v>2.6301177708290711</v>
      </c>
      <c r="J40" s="96">
        <f t="shared" si="12"/>
        <v>0.42184957452598326</v>
      </c>
      <c r="K40" s="96">
        <f t="shared" si="13"/>
        <v>0.1503434275620289</v>
      </c>
      <c r="L40" s="96">
        <f t="shared" si="4"/>
        <v>0.20229067325696071</v>
      </c>
      <c r="M40" s="96">
        <f t="shared" si="5"/>
        <v>1.8556340954840984</v>
      </c>
      <c r="O40" s="102">
        <f t="shared" si="14"/>
        <v>4.9181486501231255</v>
      </c>
      <c r="P40" s="102">
        <f t="shared" si="15"/>
        <v>76889.713395844723</v>
      </c>
      <c r="Q40" t="s">
        <v>101</v>
      </c>
      <c r="R40" s="1"/>
      <c r="AE40" s="19"/>
      <c r="AF40" s="19"/>
      <c r="AG40" s="19"/>
      <c r="AH40" s="19"/>
      <c r="AI40" s="55">
        <f t="shared" si="6"/>
        <v>1.1041340981515442E-5</v>
      </c>
      <c r="AJ40" s="56">
        <f t="shared" si="7"/>
        <v>2.2082681963030879</v>
      </c>
      <c r="AK40" s="55">
        <f t="shared" si="8"/>
        <v>1.0289623843705297E-5</v>
      </c>
      <c r="AL40" s="56">
        <f t="shared" si="9"/>
        <v>2.0579247687410591</v>
      </c>
      <c r="AM40" s="59">
        <f t="shared" si="16"/>
        <v>16.539554526216623</v>
      </c>
      <c r="AN40" s="60">
        <f t="shared" si="17"/>
        <v>9.2781704774204933E-6</v>
      </c>
      <c r="AO40" s="56">
        <f t="shared" si="18"/>
        <v>1.8556340954840984</v>
      </c>
      <c r="AP40" s="1" t="str">
        <f t="shared" si="19"/>
        <v xml:space="preserve"> </v>
      </c>
    </row>
    <row r="41" spans="1:42" x14ac:dyDescent="0.25">
      <c r="A41" s="94"/>
      <c r="B41" s="47"/>
      <c r="C41" s="48"/>
      <c r="D41" s="49">
        <f t="shared" si="20"/>
        <v>3.4265773563544504E-3</v>
      </c>
      <c r="E41" s="50">
        <f t="shared" si="21"/>
        <v>1.3150588854145357E-5</v>
      </c>
      <c r="F41" s="85">
        <f t="shared" si="0"/>
        <v>4.5086544162558561E-3</v>
      </c>
      <c r="G41" s="86">
        <f t="shared" si="1"/>
        <v>15.7182447539195</v>
      </c>
      <c r="H41" s="86">
        <f t="shared" si="2"/>
        <v>20.681900991999342</v>
      </c>
      <c r="I41" s="97">
        <f t="shared" si="3"/>
        <v>2.6301177708290711</v>
      </c>
      <c r="J41" s="96">
        <f t="shared" si="12"/>
        <v>0.42184957452598326</v>
      </c>
      <c r="K41" s="96">
        <f t="shared" si="13"/>
        <v>0.1503434275620289</v>
      </c>
      <c r="L41" s="96">
        <f t="shared" si="4"/>
        <v>0.20229067325696071</v>
      </c>
      <c r="M41" s="96">
        <f t="shared" si="5"/>
        <v>1.8556340954840984</v>
      </c>
      <c r="O41" s="102">
        <f t="shared" si="14"/>
        <v>4.9181486501231255</v>
      </c>
      <c r="P41" s="102">
        <f t="shared" si="15"/>
        <v>76889.713395844723</v>
      </c>
      <c r="Q41" t="s">
        <v>102</v>
      </c>
      <c r="AE41" s="19"/>
      <c r="AF41" s="89"/>
      <c r="AG41" s="19"/>
      <c r="AH41" s="19"/>
      <c r="AI41" s="55">
        <f t="shared" si="6"/>
        <v>1.1041340981515442E-5</v>
      </c>
      <c r="AJ41" s="56">
        <f t="shared" si="7"/>
        <v>2.2082681963030879</v>
      </c>
      <c r="AK41" s="55">
        <f t="shared" si="8"/>
        <v>1.0289623843705297E-5</v>
      </c>
      <c r="AL41" s="56">
        <f t="shared" si="9"/>
        <v>2.0579247687410591</v>
      </c>
      <c r="AM41" s="59">
        <f t="shared" si="16"/>
        <v>16.539554526216623</v>
      </c>
      <c r="AN41" s="60">
        <f t="shared" si="17"/>
        <v>9.2781704774204933E-6</v>
      </c>
      <c r="AO41" s="56">
        <f t="shared" si="18"/>
        <v>1.8556340954840984</v>
      </c>
      <c r="AP41" s="1" t="str">
        <f t="shared" si="19"/>
        <v xml:space="preserve"> </v>
      </c>
    </row>
    <row r="42" spans="1:42" x14ac:dyDescent="0.25">
      <c r="A42" s="94"/>
      <c r="B42" s="47"/>
      <c r="C42" s="48"/>
      <c r="D42" s="49">
        <f t="shared" si="20"/>
        <v>3.4265773563544504E-3</v>
      </c>
      <c r="E42" s="50">
        <f t="shared" si="21"/>
        <v>1.3150588854145357E-5</v>
      </c>
      <c r="F42" s="85">
        <f t="shared" si="0"/>
        <v>4.5086544162558561E-3</v>
      </c>
      <c r="G42" s="86">
        <f t="shared" si="1"/>
        <v>15.7182447539195</v>
      </c>
      <c r="H42" s="86">
        <f t="shared" si="2"/>
        <v>20.681900991999342</v>
      </c>
      <c r="I42" s="97">
        <f t="shared" si="3"/>
        <v>2.6301177708290711</v>
      </c>
      <c r="J42" s="96">
        <f t="shared" si="12"/>
        <v>0.42184957452598326</v>
      </c>
      <c r="K42" s="96">
        <f t="shared" si="13"/>
        <v>0.1503434275620289</v>
      </c>
      <c r="L42" s="96">
        <f t="shared" si="4"/>
        <v>0.20229067325696071</v>
      </c>
      <c r="M42" s="96">
        <f t="shared" si="5"/>
        <v>1.8556340954840984</v>
      </c>
      <c r="O42" s="102">
        <f t="shared" si="14"/>
        <v>4.9181486501231255</v>
      </c>
      <c r="P42" s="102">
        <f t="shared" si="15"/>
        <v>76889.713395844723</v>
      </c>
      <c r="Q42" t="s">
        <v>66</v>
      </c>
      <c r="AE42" s="19"/>
      <c r="AF42" s="89"/>
      <c r="AG42" s="19"/>
      <c r="AH42" s="19"/>
      <c r="AI42" s="55">
        <f t="shared" si="6"/>
        <v>1.1041340981515442E-5</v>
      </c>
      <c r="AJ42" s="56">
        <f t="shared" si="7"/>
        <v>2.2082681963030879</v>
      </c>
      <c r="AK42" s="55">
        <f t="shared" si="8"/>
        <v>1.0289623843705297E-5</v>
      </c>
      <c r="AL42" s="56">
        <f t="shared" si="9"/>
        <v>2.0579247687410591</v>
      </c>
      <c r="AM42" s="59">
        <f t="shared" si="16"/>
        <v>16.539554526216623</v>
      </c>
      <c r="AN42" s="60">
        <f t="shared" si="17"/>
        <v>9.2781704774204933E-6</v>
      </c>
      <c r="AO42" s="56">
        <f t="shared" si="18"/>
        <v>1.8556340954840984</v>
      </c>
      <c r="AP42" s="1" t="str">
        <f t="shared" si="19"/>
        <v xml:space="preserve"> </v>
      </c>
    </row>
    <row r="43" spans="1:42" x14ac:dyDescent="0.25">
      <c r="A43" s="94"/>
      <c r="B43" s="51"/>
      <c r="C43" s="52"/>
      <c r="D43" s="53">
        <f t="shared" si="20"/>
        <v>3.4265773563544504E-3</v>
      </c>
      <c r="E43" s="54">
        <f t="shared" si="21"/>
        <v>1.3150588854145357E-5</v>
      </c>
      <c r="F43" s="87">
        <f t="shared" si="0"/>
        <v>4.5086544162558561E-3</v>
      </c>
      <c r="G43" s="88">
        <f t="shared" si="1"/>
        <v>15.7182447539195</v>
      </c>
      <c r="H43" s="88">
        <f t="shared" si="2"/>
        <v>20.681900991999342</v>
      </c>
      <c r="I43" s="99">
        <f t="shared" si="3"/>
        <v>2.6301177708290711</v>
      </c>
      <c r="J43" s="98">
        <f t="shared" si="12"/>
        <v>0.42184957452598326</v>
      </c>
      <c r="K43" s="98">
        <f t="shared" si="13"/>
        <v>0.1503434275620289</v>
      </c>
      <c r="L43" s="98">
        <f t="shared" si="4"/>
        <v>0.20229067325696071</v>
      </c>
      <c r="M43" s="98">
        <f t="shared" si="5"/>
        <v>1.8556340954840984</v>
      </c>
      <c r="O43" s="113">
        <f t="shared" si="14"/>
        <v>4.9181486501231255</v>
      </c>
      <c r="P43" s="113">
        <f t="shared" si="15"/>
        <v>76889.713395844723</v>
      </c>
      <c r="Q43" t="s">
        <v>103</v>
      </c>
      <c r="AE43" s="19"/>
      <c r="AF43" s="89"/>
      <c r="AG43" s="19"/>
      <c r="AH43" s="19"/>
      <c r="AI43" s="57">
        <f t="shared" si="6"/>
        <v>1.1041340981515442E-5</v>
      </c>
      <c r="AJ43" s="58">
        <f t="shared" si="7"/>
        <v>2.2082681963030879</v>
      </c>
      <c r="AK43" s="57">
        <f t="shared" si="8"/>
        <v>1.0289623843705297E-5</v>
      </c>
      <c r="AL43" s="58">
        <f t="shared" si="9"/>
        <v>2.0579247687410591</v>
      </c>
      <c r="AM43" s="61">
        <f t="shared" si="16"/>
        <v>16.539554526216623</v>
      </c>
      <c r="AN43" s="62">
        <f t="shared" si="17"/>
        <v>9.2781704774204933E-6</v>
      </c>
      <c r="AO43" s="58">
        <f t="shared" si="18"/>
        <v>1.8556340954840984</v>
      </c>
      <c r="AP43" s="98" t="str">
        <f t="shared" si="19"/>
        <v xml:space="preserve"> </v>
      </c>
    </row>
    <row r="44" spans="1:42" ht="20.25" x14ac:dyDescent="0.35">
      <c r="A44" s="42" t="s">
        <v>108</v>
      </c>
      <c r="C44" s="1"/>
      <c r="L44" s="5"/>
      <c r="M44" s="110" t="s">
        <v>134</v>
      </c>
      <c r="N44" s="111"/>
      <c r="O44" s="111"/>
      <c r="AE44" s="19"/>
      <c r="AF44" s="89"/>
      <c r="AG44" s="19"/>
      <c r="AH44" s="19"/>
    </row>
    <row r="45" spans="1:42" x14ac:dyDescent="0.25">
      <c r="AE45" s="19"/>
      <c r="AF45" s="89"/>
      <c r="AG45" s="19"/>
      <c r="AH45" s="19"/>
    </row>
    <row r="46" spans="1:42" x14ac:dyDescent="0.25">
      <c r="AE46" s="19"/>
      <c r="AF46" s="89"/>
      <c r="AG46" s="19"/>
      <c r="AH46" s="19"/>
    </row>
    <row r="47" spans="1:42" x14ac:dyDescent="0.25">
      <c r="AE47" s="19"/>
      <c r="AF47" s="89"/>
      <c r="AG47" s="19"/>
      <c r="AH47" s="19"/>
    </row>
    <row r="48" spans="1:42" x14ac:dyDescent="0.25">
      <c r="AE48" s="19"/>
      <c r="AF48" s="89"/>
      <c r="AG48" s="19"/>
      <c r="AH48" s="19"/>
    </row>
    <row r="49" spans="31:34" x14ac:dyDescent="0.25">
      <c r="AE49" s="19"/>
      <c r="AF49" s="89"/>
      <c r="AG49" s="19"/>
      <c r="AH49" s="19"/>
    </row>
    <row r="50" spans="31:34" x14ac:dyDescent="0.25">
      <c r="AE50" s="19"/>
      <c r="AF50" s="89"/>
      <c r="AG50" s="19"/>
      <c r="AH50" s="19"/>
    </row>
    <row r="51" spans="31:34" x14ac:dyDescent="0.25">
      <c r="AE51" s="19"/>
      <c r="AF51" s="89"/>
      <c r="AG51" s="19"/>
      <c r="AH51" s="19"/>
    </row>
    <row r="66" spans="2:3" x14ac:dyDescent="0.25">
      <c r="B66" s="69"/>
      <c r="C66" s="68"/>
    </row>
    <row r="67" spans="2:3" x14ac:dyDescent="0.25">
      <c r="B67" s="69"/>
      <c r="C67" s="68"/>
    </row>
    <row r="68" spans="2:3" x14ac:dyDescent="0.25">
      <c r="B68" s="69"/>
      <c r="C68" s="68"/>
    </row>
    <row r="69" spans="2:3" x14ac:dyDescent="0.25">
      <c r="B69" s="69"/>
      <c r="C69" s="68"/>
    </row>
    <row r="70" spans="2:3" x14ac:dyDescent="0.25">
      <c r="B70" s="69"/>
      <c r="C70" s="68"/>
    </row>
    <row r="71" spans="2:3" x14ac:dyDescent="0.25">
      <c r="B71" s="69"/>
      <c r="C71" s="68"/>
    </row>
    <row r="72" spans="2:3" x14ac:dyDescent="0.25">
      <c r="B72" s="69"/>
      <c r="C72" s="68"/>
    </row>
    <row r="73" spans="2:3" x14ac:dyDescent="0.25">
      <c r="B73" s="69"/>
      <c r="C73" s="68"/>
    </row>
    <row r="74" spans="2:3" x14ac:dyDescent="0.25">
      <c r="B74" s="69"/>
      <c r="C74" s="68"/>
    </row>
    <row r="75" spans="2:3" x14ac:dyDescent="0.25">
      <c r="B75" s="69"/>
      <c r="C75" s="68"/>
    </row>
    <row r="76" spans="2:3" x14ac:dyDescent="0.25">
      <c r="B76" s="69"/>
      <c r="C76" s="68"/>
    </row>
    <row r="77" spans="2:3" x14ac:dyDescent="0.25">
      <c r="B77" s="69"/>
      <c r="C77" s="68"/>
    </row>
    <row r="78" spans="2:3" x14ac:dyDescent="0.25">
      <c r="B78" s="69"/>
      <c r="C78" s="68"/>
    </row>
    <row r="79" spans="2:3" x14ac:dyDescent="0.25">
      <c r="B79" s="69"/>
      <c r="C79" s="68"/>
    </row>
    <row r="80" spans="2:3" x14ac:dyDescent="0.25">
      <c r="B80" s="69"/>
      <c r="C80" s="68"/>
    </row>
    <row r="81" spans="2:3" x14ac:dyDescent="0.25">
      <c r="B81" s="69"/>
      <c r="C81" s="68"/>
    </row>
    <row r="82" spans="2:3" x14ac:dyDescent="0.25">
      <c r="B82" s="69"/>
      <c r="C82" s="68"/>
    </row>
    <row r="83" spans="2:3" x14ac:dyDescent="0.25">
      <c r="B83" s="69"/>
      <c r="C83" s="68"/>
    </row>
    <row r="84" spans="2:3" x14ac:dyDescent="0.25">
      <c r="B84" s="69"/>
      <c r="C84" s="68"/>
    </row>
    <row r="85" spans="2:3" x14ac:dyDescent="0.25">
      <c r="B85" s="69"/>
      <c r="C85" s="68"/>
    </row>
    <row r="86" spans="2:3" x14ac:dyDescent="0.25">
      <c r="B86" s="69"/>
      <c r="C86" s="6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zoomScaleNormal="100" workbookViewId="0">
      <selection activeCell="G14" sqref="G14"/>
    </sheetView>
  </sheetViews>
  <sheetFormatPr defaultRowHeight="15" x14ac:dyDescent="0.25"/>
  <cols>
    <col min="1" max="1" width="10.42578125" customWidth="1"/>
    <col min="2" max="2" width="12.28515625" bestFit="1" customWidth="1"/>
    <col min="3" max="3" width="12" bestFit="1" customWidth="1"/>
    <col min="5" max="5" width="9.5703125" customWidth="1"/>
    <col min="6" max="6" width="12" bestFit="1" customWidth="1"/>
    <col min="7" max="7" width="10.140625" customWidth="1"/>
    <col min="8" max="8" width="10.140625" bestFit="1" customWidth="1"/>
    <col min="17" max="17" width="14.42578125" bestFit="1" customWidth="1"/>
  </cols>
  <sheetData>
    <row r="1" spans="1:17" ht="21" x14ac:dyDescent="0.35">
      <c r="A1" s="11" t="s">
        <v>19</v>
      </c>
    </row>
    <row r="2" spans="1:17" ht="18.75" x14ac:dyDescent="0.3">
      <c r="A2" s="12" t="s">
        <v>16</v>
      </c>
    </row>
    <row r="3" spans="1:17" ht="15.75" x14ac:dyDescent="0.25">
      <c r="A3" s="13" t="s">
        <v>13</v>
      </c>
      <c r="D3" s="84">
        <v>0.1</v>
      </c>
      <c r="E3" t="s">
        <v>10</v>
      </c>
    </row>
    <row r="4" spans="1:17" ht="18.75" x14ac:dyDescent="0.35">
      <c r="A4" s="13" t="s">
        <v>53</v>
      </c>
      <c r="D4" s="3">
        <f>60*0.0666666666666667</f>
        <v>4.0000000000000018</v>
      </c>
      <c r="E4" t="s">
        <v>14</v>
      </c>
      <c r="F4" t="s">
        <v>15</v>
      </c>
    </row>
    <row r="5" spans="1:17" x14ac:dyDescent="0.25">
      <c r="D5" s="37"/>
    </row>
    <row r="6" spans="1:17" ht="20.25" x14ac:dyDescent="0.35">
      <c r="A6" s="42" t="s">
        <v>54</v>
      </c>
    </row>
    <row r="7" spans="1:17" ht="20.25" x14ac:dyDescent="0.35">
      <c r="A7" s="7" t="s">
        <v>32</v>
      </c>
      <c r="B7" s="7" t="s">
        <v>51</v>
      </c>
      <c r="C7" s="7" t="s">
        <v>52</v>
      </c>
      <c r="D7" s="7" t="s">
        <v>45</v>
      </c>
    </row>
    <row r="8" spans="1:17" x14ac:dyDescent="0.25">
      <c r="A8" s="3">
        <v>58.86</v>
      </c>
      <c r="B8" s="3">
        <v>239.04</v>
      </c>
      <c r="C8">
        <f>$D$3/B8</f>
        <v>4.1834002677376177E-4</v>
      </c>
      <c r="D8">
        <f>(B8-A8)/(A8-$D$4)</f>
        <v>3.28436018957346</v>
      </c>
      <c r="G8" s="44"/>
      <c r="H8" s="44"/>
      <c r="I8" s="44"/>
      <c r="J8" s="44"/>
    </row>
    <row r="9" spans="1:17" x14ac:dyDescent="0.25">
      <c r="A9" s="3">
        <v>58.86</v>
      </c>
      <c r="B9" s="3">
        <v>238.85999999999999</v>
      </c>
      <c r="C9">
        <f t="shared" ref="C9:C10" si="0">$D$3/B9</f>
        <v>4.186552792430713E-4</v>
      </c>
      <c r="D9">
        <f t="shared" ref="D9:D10" si="1">(B9-A9)/(A9-D5)</f>
        <v>3.0581039755351682</v>
      </c>
      <c r="G9" s="44"/>
      <c r="H9" s="44"/>
      <c r="I9" s="44"/>
      <c r="J9" s="44"/>
    </row>
    <row r="10" spans="1:17" x14ac:dyDescent="0.25">
      <c r="A10" s="3">
        <v>58.86</v>
      </c>
      <c r="B10" s="3">
        <v>239.16000000000003</v>
      </c>
      <c r="C10">
        <f t="shared" si="0"/>
        <v>4.1813012209399562E-4</v>
      </c>
      <c r="D10">
        <f t="shared" si="1"/>
        <v>3.0632008154943935</v>
      </c>
      <c r="G10" s="44"/>
      <c r="H10" s="44"/>
      <c r="I10" s="44"/>
      <c r="J10" s="44"/>
      <c r="Q10" s="41"/>
    </row>
    <row r="11" spans="1:17" ht="15.75" x14ac:dyDescent="0.25">
      <c r="B11" s="6" t="s">
        <v>17</v>
      </c>
      <c r="C11">
        <f>AVERAGE(C8:C10)</f>
        <v>4.1837514270360953E-4</v>
      </c>
      <c r="D11">
        <f>AVERAGE(D8:D10)</f>
        <v>3.1352216602010077</v>
      </c>
      <c r="K11" s="44"/>
      <c r="L11" s="38" t="s">
        <v>18</v>
      </c>
      <c r="M11" s="39">
        <f>LINEST(H17:H34,A17:A34, FALSE)</f>
        <v>1.1854373045128831E-9</v>
      </c>
      <c r="Q11" s="41"/>
    </row>
    <row r="12" spans="1:17" ht="15.75" x14ac:dyDescent="0.25">
      <c r="L12" s="45" t="s">
        <v>1</v>
      </c>
      <c r="M12" s="40">
        <f>M11/2</f>
        <v>5.9271865225644157E-10</v>
      </c>
      <c r="N12" s="46" t="s">
        <v>7</v>
      </c>
    </row>
    <row r="13" spans="1:17" ht="21.75" x14ac:dyDescent="0.35">
      <c r="B13" s="7" t="s">
        <v>140</v>
      </c>
      <c r="C13" s="7" t="s">
        <v>47</v>
      </c>
      <c r="D13" s="7" t="s">
        <v>11</v>
      </c>
      <c r="E13" s="7" t="s">
        <v>137</v>
      </c>
      <c r="F13" s="7" t="s">
        <v>48</v>
      </c>
      <c r="G13" s="7" t="s">
        <v>49</v>
      </c>
      <c r="H13" s="2"/>
    </row>
    <row r="14" spans="1:17" x14ac:dyDescent="0.25">
      <c r="B14" s="10">
        <v>0.5</v>
      </c>
      <c r="C14" s="3">
        <v>4.9690000000000003</v>
      </c>
      <c r="D14" s="3">
        <v>21990</v>
      </c>
      <c r="E14" s="2">
        <f t="shared" ref="E14:E34" si="2">B14*60</f>
        <v>30</v>
      </c>
      <c r="F14" s="9">
        <f t="shared" ref="F14:F34" si="3">C14*60</f>
        <v>298.14000000000004</v>
      </c>
      <c r="G14" s="8">
        <f>(F14^2/D14)*$C$11^2</f>
        <v>7.0753350720065988E-7</v>
      </c>
      <c r="H14" s="2"/>
    </row>
    <row r="15" spans="1:17" x14ac:dyDescent="0.25">
      <c r="B15" s="10">
        <v>0.5</v>
      </c>
      <c r="C15" s="3">
        <v>4.9649999999999999</v>
      </c>
      <c r="D15" s="3">
        <v>22561</v>
      </c>
      <c r="E15" s="2">
        <f t="shared" si="2"/>
        <v>30</v>
      </c>
      <c r="F15" s="9">
        <f t="shared" si="3"/>
        <v>297.89999999999998</v>
      </c>
      <c r="G15" s="8">
        <f>(F15^2/D15)*$C$11^2</f>
        <v>6.8851658799632079E-7</v>
      </c>
      <c r="H15" s="2"/>
    </row>
    <row r="16" spans="1:17" ht="21.75" x14ac:dyDescent="0.35">
      <c r="A16" s="7" t="s">
        <v>139</v>
      </c>
      <c r="B16" s="10">
        <v>0.5</v>
      </c>
      <c r="C16" s="3">
        <v>4.9630000000000001</v>
      </c>
      <c r="D16" s="3">
        <v>22359</v>
      </c>
      <c r="E16" s="2">
        <f t="shared" si="2"/>
        <v>30</v>
      </c>
      <c r="F16" s="9">
        <f t="shared" si="3"/>
        <v>297.78000000000003</v>
      </c>
      <c r="G16" s="8">
        <f t="shared" ref="G16:G34" si="4">(F16^2/D16)*$C$11^2</f>
        <v>6.9417732289625992E-7</v>
      </c>
      <c r="H16" s="7" t="s">
        <v>50</v>
      </c>
    </row>
    <row r="17" spans="1:8" x14ac:dyDescent="0.25">
      <c r="A17">
        <f>E17-AVERAGE($E$14:$E$16)</f>
        <v>900</v>
      </c>
      <c r="B17" s="10">
        <v>15.5</v>
      </c>
      <c r="C17" s="3">
        <v>19.989000000000001</v>
      </c>
      <c r="D17" s="3">
        <v>142620</v>
      </c>
      <c r="E17" s="2">
        <f t="shared" si="2"/>
        <v>930</v>
      </c>
      <c r="F17" s="9">
        <f t="shared" si="3"/>
        <v>1199.3400000000001</v>
      </c>
      <c r="G17" s="8">
        <f>(F17^2/D17)*$C$11^2</f>
        <v>1.7653708517810951E-6</v>
      </c>
      <c r="H17" s="8">
        <f>(G17-AVERAGE($G$14:$G$16))</f>
        <v>1.0686283790833484E-6</v>
      </c>
    </row>
    <row r="18" spans="1:8" x14ac:dyDescent="0.25">
      <c r="A18">
        <f t="shared" ref="A18:A34" si="5">E18-AVERAGE($E$14:$E$16)</f>
        <v>900</v>
      </c>
      <c r="B18" s="10">
        <v>15.5</v>
      </c>
      <c r="C18" s="3">
        <v>19.988</v>
      </c>
      <c r="D18" s="3">
        <v>141494</v>
      </c>
      <c r="E18" s="2">
        <f t="shared" si="2"/>
        <v>930</v>
      </c>
      <c r="F18" s="9">
        <f t="shared" si="3"/>
        <v>1199.28</v>
      </c>
      <c r="G18" s="8">
        <f t="shared" si="4"/>
        <v>1.7792415221613747E-6</v>
      </c>
      <c r="H18" s="8">
        <f t="shared" ref="H18:H34" si="6">(G18-AVERAGE($G$14:$G$16))</f>
        <v>1.0824990494636278E-6</v>
      </c>
    </row>
    <row r="19" spans="1:8" x14ac:dyDescent="0.25">
      <c r="A19">
        <f t="shared" si="5"/>
        <v>900</v>
      </c>
      <c r="B19" s="10">
        <v>15.5</v>
      </c>
      <c r="C19" s="3">
        <v>19.986000000000001</v>
      </c>
      <c r="D19" s="3">
        <v>141877</v>
      </c>
      <c r="E19" s="2">
        <f t="shared" si="2"/>
        <v>930</v>
      </c>
      <c r="F19" s="9">
        <f t="shared" si="3"/>
        <v>1199.1600000000001</v>
      </c>
      <c r="G19" s="8">
        <f t="shared" si="4"/>
        <v>1.774083338588221E-6</v>
      </c>
      <c r="H19" s="8">
        <f t="shared" si="6"/>
        <v>1.077340865890474E-6</v>
      </c>
    </row>
    <row r="20" spans="1:8" x14ac:dyDescent="0.25">
      <c r="A20">
        <f t="shared" si="5"/>
        <v>1800</v>
      </c>
      <c r="B20" s="10">
        <v>30.5</v>
      </c>
      <c r="C20" s="3">
        <v>34.999000000000002</v>
      </c>
      <c r="D20" s="3">
        <v>268143</v>
      </c>
      <c r="E20" s="2">
        <f t="shared" si="2"/>
        <v>1830</v>
      </c>
      <c r="F20" s="9">
        <f t="shared" si="3"/>
        <v>2099.94</v>
      </c>
      <c r="G20" s="8">
        <f t="shared" si="4"/>
        <v>2.8785849821061872E-6</v>
      </c>
      <c r="H20" s="8">
        <f t="shared" si="6"/>
        <v>2.1818425094084405E-6</v>
      </c>
    </row>
    <row r="21" spans="1:8" x14ac:dyDescent="0.25">
      <c r="A21">
        <f t="shared" si="5"/>
        <v>1800</v>
      </c>
      <c r="B21" s="10">
        <v>30.5</v>
      </c>
      <c r="C21" s="3">
        <v>34.994</v>
      </c>
      <c r="D21" s="3">
        <v>268413</v>
      </c>
      <c r="E21" s="2">
        <f t="shared" si="2"/>
        <v>1830</v>
      </c>
      <c r="F21" s="9">
        <f t="shared" si="3"/>
        <v>2099.64</v>
      </c>
      <c r="G21" s="8">
        <f t="shared" si="4"/>
        <v>2.8748677870819089E-6</v>
      </c>
      <c r="H21" s="8">
        <f t="shared" si="6"/>
        <v>2.1781253143841621E-6</v>
      </c>
    </row>
    <row r="22" spans="1:8" x14ac:dyDescent="0.25">
      <c r="A22">
        <f t="shared" si="5"/>
        <v>1800</v>
      </c>
      <c r="B22" s="10">
        <v>30.5</v>
      </c>
      <c r="C22" s="3">
        <v>34.994</v>
      </c>
      <c r="D22" s="3">
        <v>268022</v>
      </c>
      <c r="E22" s="2">
        <f t="shared" si="2"/>
        <v>1830</v>
      </c>
      <c r="F22" s="9">
        <f t="shared" si="3"/>
        <v>2099.64</v>
      </c>
      <c r="G22" s="8">
        <f t="shared" si="4"/>
        <v>2.8790617461776131E-6</v>
      </c>
      <c r="H22" s="8">
        <f t="shared" si="6"/>
        <v>2.1823192734798664E-6</v>
      </c>
    </row>
    <row r="23" spans="1:8" x14ac:dyDescent="0.25">
      <c r="A23">
        <f t="shared" si="5"/>
        <v>2700</v>
      </c>
      <c r="B23" s="10">
        <v>45.5</v>
      </c>
      <c r="C23" s="3">
        <v>50.014000000000003</v>
      </c>
      <c r="D23" s="3">
        <v>410485</v>
      </c>
      <c r="E23" s="2">
        <f t="shared" si="2"/>
        <v>2730</v>
      </c>
      <c r="F23" s="9">
        <f t="shared" si="3"/>
        <v>3000.84</v>
      </c>
      <c r="G23" s="8">
        <f t="shared" si="4"/>
        <v>3.8399019552665679E-6</v>
      </c>
      <c r="H23" s="8">
        <f t="shared" si="6"/>
        <v>3.1431594825688212E-6</v>
      </c>
    </row>
    <row r="24" spans="1:8" x14ac:dyDescent="0.25">
      <c r="A24">
        <f t="shared" si="5"/>
        <v>2700</v>
      </c>
      <c r="B24" s="10">
        <v>45.5</v>
      </c>
      <c r="C24" s="3">
        <v>50.012999999999998</v>
      </c>
      <c r="D24" s="3">
        <v>406789</v>
      </c>
      <c r="E24" s="2">
        <f t="shared" si="2"/>
        <v>2730</v>
      </c>
      <c r="F24" s="9">
        <f t="shared" si="3"/>
        <v>3000.7799999999997</v>
      </c>
      <c r="G24" s="8">
        <f t="shared" si="4"/>
        <v>3.8746355567636162E-6</v>
      </c>
      <c r="H24" s="8">
        <f t="shared" si="6"/>
        <v>3.1778930840658695E-6</v>
      </c>
    </row>
    <row r="25" spans="1:8" x14ac:dyDescent="0.25">
      <c r="A25">
        <f t="shared" si="5"/>
        <v>2700</v>
      </c>
      <c r="B25" s="10">
        <v>45.5</v>
      </c>
      <c r="C25" s="3">
        <v>50.012</v>
      </c>
      <c r="D25" s="3">
        <v>411350</v>
      </c>
      <c r="E25" s="2">
        <f t="shared" si="2"/>
        <v>2730</v>
      </c>
      <c r="F25" s="9">
        <f t="shared" si="3"/>
        <v>3000.7200000000003</v>
      </c>
      <c r="G25" s="8">
        <f t="shared" si="4"/>
        <v>3.8315208317814645E-6</v>
      </c>
      <c r="H25" s="8">
        <f t="shared" si="6"/>
        <v>3.1347783590837178E-6</v>
      </c>
    </row>
    <row r="26" spans="1:8" x14ac:dyDescent="0.25">
      <c r="A26">
        <f t="shared" si="5"/>
        <v>3600</v>
      </c>
      <c r="B26" s="10">
        <v>60.5</v>
      </c>
      <c r="C26" s="3">
        <v>65.019000000000005</v>
      </c>
      <c r="D26" s="3">
        <v>544023</v>
      </c>
      <c r="E26" s="2">
        <f t="shared" si="2"/>
        <v>3630</v>
      </c>
      <c r="F26" s="9">
        <f t="shared" si="3"/>
        <v>3901.1400000000003</v>
      </c>
      <c r="G26" s="8">
        <f t="shared" si="4"/>
        <v>4.8966330345078073E-6</v>
      </c>
      <c r="H26" s="8">
        <f t="shared" si="6"/>
        <v>4.1998905618100601E-6</v>
      </c>
    </row>
    <row r="27" spans="1:8" x14ac:dyDescent="0.25">
      <c r="A27">
        <f t="shared" si="5"/>
        <v>3600</v>
      </c>
      <c r="B27" s="10">
        <v>60.5</v>
      </c>
      <c r="C27" s="3">
        <v>65</v>
      </c>
      <c r="D27" s="3">
        <v>531947</v>
      </c>
      <c r="E27" s="2">
        <f t="shared" si="2"/>
        <v>3630</v>
      </c>
      <c r="F27" s="9">
        <f t="shared" si="3"/>
        <v>3900</v>
      </c>
      <c r="G27" s="8">
        <f t="shared" si="4"/>
        <v>5.0048676467594716E-6</v>
      </c>
      <c r="H27" s="8">
        <f t="shared" si="6"/>
        <v>4.3081251740617245E-6</v>
      </c>
    </row>
    <row r="28" spans="1:8" x14ac:dyDescent="0.25">
      <c r="A28">
        <f t="shared" si="5"/>
        <v>3600</v>
      </c>
      <c r="B28" s="10">
        <v>60.5</v>
      </c>
      <c r="C28" s="3">
        <v>65.004000000000005</v>
      </c>
      <c r="D28" s="3">
        <v>525675</v>
      </c>
      <c r="E28" s="2">
        <f t="shared" si="2"/>
        <v>3630</v>
      </c>
      <c r="F28" s="9">
        <f t="shared" si="3"/>
        <v>3900.2400000000002</v>
      </c>
      <c r="G28" s="8">
        <f t="shared" si="4"/>
        <v>5.0652057085836618E-6</v>
      </c>
      <c r="H28" s="8">
        <f t="shared" si="6"/>
        <v>4.3684632358859146E-6</v>
      </c>
    </row>
    <row r="29" spans="1:8" x14ac:dyDescent="0.25">
      <c r="A29">
        <f t="shared" si="5"/>
        <v>5400</v>
      </c>
      <c r="B29" s="10">
        <v>90.5</v>
      </c>
      <c r="C29" s="3">
        <v>95.016000000000005</v>
      </c>
      <c r="D29" s="3">
        <v>803022</v>
      </c>
      <c r="E29" s="2">
        <f t="shared" si="2"/>
        <v>5430</v>
      </c>
      <c r="F29" s="9">
        <f t="shared" si="3"/>
        <v>5700.96</v>
      </c>
      <c r="G29" s="8">
        <f t="shared" si="4"/>
        <v>7.0843545980171195E-6</v>
      </c>
      <c r="H29" s="8">
        <f t="shared" si="6"/>
        <v>6.3876121253193724E-6</v>
      </c>
    </row>
    <row r="30" spans="1:8" x14ac:dyDescent="0.25">
      <c r="A30">
        <f t="shared" si="5"/>
        <v>5400</v>
      </c>
      <c r="B30" s="10">
        <v>90.5</v>
      </c>
      <c r="C30" s="3">
        <v>95.015000000000001</v>
      </c>
      <c r="D30" s="3">
        <v>804241</v>
      </c>
      <c r="E30" s="2">
        <f t="shared" si="2"/>
        <v>5430</v>
      </c>
      <c r="F30" s="9">
        <f t="shared" si="3"/>
        <v>5700.9</v>
      </c>
      <c r="G30" s="8">
        <f t="shared" si="4"/>
        <v>7.0734678443984154E-6</v>
      </c>
      <c r="H30" s="8">
        <f t="shared" si="6"/>
        <v>6.3767253717006683E-6</v>
      </c>
    </row>
    <row r="31" spans="1:8" x14ac:dyDescent="0.25">
      <c r="A31">
        <f t="shared" si="5"/>
        <v>5400</v>
      </c>
      <c r="B31" s="10">
        <v>90.5</v>
      </c>
      <c r="C31" s="3">
        <v>95.009</v>
      </c>
      <c r="D31" s="3">
        <v>765981</v>
      </c>
      <c r="E31" s="2">
        <f t="shared" si="2"/>
        <v>5430</v>
      </c>
      <c r="F31" s="9">
        <f t="shared" si="3"/>
        <v>5700.54</v>
      </c>
      <c r="G31" s="8">
        <f t="shared" si="4"/>
        <v>7.4258426866202688E-6</v>
      </c>
      <c r="H31" s="8">
        <f t="shared" si="6"/>
        <v>6.7291002139225217E-6</v>
      </c>
    </row>
    <row r="32" spans="1:8" x14ac:dyDescent="0.25">
      <c r="A32">
        <f t="shared" si="5"/>
        <v>7200</v>
      </c>
      <c r="B32" s="10">
        <v>120.5</v>
      </c>
      <c r="C32" s="3">
        <v>125.023</v>
      </c>
      <c r="D32" s="3">
        <v>1083548</v>
      </c>
      <c r="E32" s="2">
        <f t="shared" si="2"/>
        <v>7230</v>
      </c>
      <c r="F32" s="9">
        <f t="shared" si="3"/>
        <v>7501.38</v>
      </c>
      <c r="G32" s="8">
        <f t="shared" si="4"/>
        <v>9.0900427270314934E-6</v>
      </c>
      <c r="H32" s="8">
        <f t="shared" si="6"/>
        <v>8.3933002543337463E-6</v>
      </c>
    </row>
    <row r="33" spans="1:8" x14ac:dyDescent="0.25">
      <c r="A33">
        <f t="shared" si="5"/>
        <v>7200</v>
      </c>
      <c r="B33" s="10">
        <v>120.5</v>
      </c>
      <c r="C33" s="3">
        <v>125.018</v>
      </c>
      <c r="D33" s="3">
        <v>1075642</v>
      </c>
      <c r="E33" s="2">
        <f t="shared" si="2"/>
        <v>7230</v>
      </c>
      <c r="F33" s="9">
        <f t="shared" si="3"/>
        <v>7501.08</v>
      </c>
      <c r="G33" s="8">
        <f t="shared" si="4"/>
        <v>9.1561224066106638E-6</v>
      </c>
      <c r="H33" s="8">
        <f t="shared" si="6"/>
        <v>8.4593799339129167E-6</v>
      </c>
    </row>
    <row r="34" spans="1:8" x14ac:dyDescent="0.25">
      <c r="A34">
        <f t="shared" si="5"/>
        <v>7200</v>
      </c>
      <c r="B34" s="10">
        <v>120.5</v>
      </c>
      <c r="C34" s="3">
        <v>125.021</v>
      </c>
      <c r="D34" s="3">
        <v>1069199</v>
      </c>
      <c r="E34" s="2">
        <f t="shared" si="2"/>
        <v>7230</v>
      </c>
      <c r="F34" s="9">
        <f t="shared" si="3"/>
        <v>7501.26</v>
      </c>
      <c r="G34" s="8">
        <f t="shared" si="4"/>
        <v>9.2117393426008632E-6</v>
      </c>
      <c r="H34" s="8">
        <f t="shared" si="6"/>
        <v>8.514996869903116E-6</v>
      </c>
    </row>
    <row r="36" spans="1:8" x14ac:dyDescent="0.25">
      <c r="C36" s="81"/>
      <c r="D36" s="82"/>
      <c r="E36" s="44"/>
      <c r="F36" s="83"/>
      <c r="G36" s="44"/>
    </row>
    <row r="37" spans="1:8" x14ac:dyDescent="0.25">
      <c r="C37" s="81"/>
      <c r="D37" s="82"/>
      <c r="E37" s="44"/>
      <c r="F37" s="44"/>
      <c r="G37" s="44"/>
    </row>
    <row r="38" spans="1:8" x14ac:dyDescent="0.25">
      <c r="C38" s="81"/>
      <c r="D38" s="82"/>
      <c r="E38" s="44"/>
      <c r="F38" s="44"/>
      <c r="G38" s="44"/>
    </row>
    <row r="39" spans="1:8" x14ac:dyDescent="0.25">
      <c r="C39" s="81"/>
      <c r="D39" s="82"/>
      <c r="E39" s="44"/>
      <c r="F39" s="44"/>
      <c r="G39" s="44"/>
    </row>
    <row r="40" spans="1:8" x14ac:dyDescent="0.25">
      <c r="C40" s="81"/>
      <c r="D40" s="82"/>
      <c r="E40" s="44"/>
      <c r="F40" s="44"/>
      <c r="G40" s="44"/>
    </row>
    <row r="41" spans="1:8" x14ac:dyDescent="0.25">
      <c r="C41" s="81"/>
      <c r="D41" s="82"/>
      <c r="E41" s="44"/>
      <c r="F41" s="44"/>
      <c r="G41" s="44"/>
    </row>
    <row r="42" spans="1:8" x14ac:dyDescent="0.25">
      <c r="C42" s="81"/>
      <c r="D42" s="82"/>
      <c r="E42" s="44"/>
      <c r="F42" s="44"/>
      <c r="G42" s="44"/>
    </row>
    <row r="43" spans="1:8" x14ac:dyDescent="0.25">
      <c r="C43" s="81"/>
      <c r="D43" s="82"/>
      <c r="E43" s="44"/>
      <c r="F43" s="44"/>
      <c r="G43" s="44"/>
    </row>
    <row r="44" spans="1:8" x14ac:dyDescent="0.25">
      <c r="C44" s="81"/>
      <c r="D44" s="82"/>
      <c r="E44" s="44"/>
      <c r="F44" s="44"/>
      <c r="G44" s="44"/>
    </row>
    <row r="45" spans="1:8" x14ac:dyDescent="0.25">
      <c r="C45" s="81"/>
      <c r="D45" s="82"/>
      <c r="E45" s="44"/>
      <c r="F45" s="44"/>
      <c r="G45" s="44"/>
    </row>
    <row r="46" spans="1:8" x14ac:dyDescent="0.25">
      <c r="C46" s="81"/>
      <c r="D46" s="82"/>
      <c r="E46" s="44"/>
      <c r="F46" s="44"/>
      <c r="G46" s="44"/>
    </row>
    <row r="47" spans="1:8" x14ac:dyDescent="0.25">
      <c r="C47" s="81"/>
      <c r="D47" s="82"/>
      <c r="E47" s="44"/>
      <c r="F47" s="44"/>
      <c r="G47" s="44"/>
    </row>
    <row r="48" spans="1:8" x14ac:dyDescent="0.25">
      <c r="C48" s="81"/>
      <c r="D48" s="82"/>
      <c r="E48" s="44"/>
      <c r="F48" s="44"/>
      <c r="G48" s="44"/>
    </row>
    <row r="49" spans="3:7" x14ac:dyDescent="0.25">
      <c r="C49" s="81"/>
      <c r="D49" s="82"/>
      <c r="E49" s="44"/>
      <c r="F49" s="44"/>
      <c r="G49" s="44"/>
    </row>
    <row r="50" spans="3:7" x14ac:dyDescent="0.25">
      <c r="C50" s="81"/>
      <c r="D50" s="82"/>
      <c r="E50" s="44"/>
      <c r="F50" s="44"/>
      <c r="G50" s="44"/>
    </row>
    <row r="51" spans="3:7" x14ac:dyDescent="0.25">
      <c r="C51" s="81"/>
      <c r="D51" s="82"/>
      <c r="E51" s="44"/>
      <c r="F51" s="44"/>
      <c r="G51" s="44"/>
    </row>
    <row r="52" spans="3:7" x14ac:dyDescent="0.25">
      <c r="C52" s="81"/>
      <c r="D52" s="82"/>
      <c r="E52" s="44"/>
      <c r="F52" s="44"/>
      <c r="G52" s="44"/>
    </row>
    <row r="53" spans="3:7" x14ac:dyDescent="0.25">
      <c r="C53" s="81"/>
      <c r="D53" s="82"/>
      <c r="E53" s="44"/>
      <c r="F53" s="44"/>
      <c r="G53" s="44"/>
    </row>
    <row r="54" spans="3:7" x14ac:dyDescent="0.25">
      <c r="C54" s="81"/>
      <c r="D54" s="82"/>
      <c r="E54" s="44"/>
      <c r="F54" s="44"/>
      <c r="G54" s="44"/>
    </row>
    <row r="55" spans="3:7" x14ac:dyDescent="0.25">
      <c r="C55" s="81"/>
      <c r="D55" s="82"/>
      <c r="E55" s="44"/>
      <c r="F55" s="44"/>
      <c r="G55" s="44"/>
    </row>
    <row r="56" spans="3:7" x14ac:dyDescent="0.25">
      <c r="C56" s="81"/>
      <c r="D56" s="82"/>
      <c r="E56" s="44"/>
      <c r="F56" s="44"/>
      <c r="G56" s="44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G3" sqref="G3"/>
    </sheetView>
  </sheetViews>
  <sheetFormatPr defaultRowHeight="15" x14ac:dyDescent="0.25"/>
  <cols>
    <col min="1" max="1" width="12.140625" customWidth="1"/>
    <col min="2" max="2" width="9.7109375" customWidth="1"/>
    <col min="3" max="3" width="12" bestFit="1" customWidth="1"/>
  </cols>
  <sheetData>
    <row r="1" spans="1:7" ht="18.75" x14ac:dyDescent="0.35">
      <c r="B1" s="13" t="s">
        <v>55</v>
      </c>
    </row>
    <row r="2" spans="1:7" ht="20.25" x14ac:dyDescent="0.35">
      <c r="A2" s="7" t="s">
        <v>33</v>
      </c>
      <c r="B2" s="7" t="s">
        <v>46</v>
      </c>
      <c r="C2" s="42" t="s">
        <v>56</v>
      </c>
    </row>
    <row r="3" spans="1:7" x14ac:dyDescent="0.25">
      <c r="A3" s="10">
        <f>'Main Sheet (t0,N or H,u0-data)'!$D$19</f>
        <v>1.0117375995672892E-4</v>
      </c>
      <c r="B3" s="14">
        <f>'Main Sheet (t0,N or H,u0-data)'!$E$19</f>
        <v>7.1508024789448591E-5</v>
      </c>
      <c r="C3">
        <f>B3*A3/(2*(1+$F$3))</f>
        <v>5.2425621268315168E-10</v>
      </c>
      <c r="E3" s="3" t="s">
        <v>20</v>
      </c>
      <c r="F3" s="3">
        <f>'Main Sheet (t0,N or H,u0-data)'!S19</f>
        <v>5.9</v>
      </c>
      <c r="G3" t="s">
        <v>136</v>
      </c>
    </row>
    <row r="4" spans="1:7" x14ac:dyDescent="0.25">
      <c r="A4" s="10">
        <f>A3</f>
        <v>1.0117375995672892E-4</v>
      </c>
      <c r="B4" s="14">
        <f>B3</f>
        <v>7.1508024789448591E-5</v>
      </c>
      <c r="C4">
        <f t="shared" ref="C4:C5" si="0">B4*A4/(2*(1+$F$3))</f>
        <v>5.2425621268315168E-10</v>
      </c>
    </row>
    <row r="5" spans="1:7" x14ac:dyDescent="0.25">
      <c r="A5" s="10">
        <f>A4</f>
        <v>1.0117375995672892E-4</v>
      </c>
      <c r="B5" s="14">
        <f>B4</f>
        <v>7.1508024789448591E-5</v>
      </c>
      <c r="C5">
        <f t="shared" si="0"/>
        <v>5.2425621268315168E-10</v>
      </c>
    </row>
    <row r="7" spans="1:7" ht="18.75" x14ac:dyDescent="0.35">
      <c r="A7" s="45" t="s">
        <v>41</v>
      </c>
      <c r="B7" s="40">
        <f>AVERAGE(C3:C5)*0.999</f>
        <v>5.2373195647046857E-10</v>
      </c>
      <c r="C7" s="46" t="s">
        <v>7</v>
      </c>
      <c r="D7" t="s">
        <v>57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2"/>
  <sheetViews>
    <sheetView workbookViewId="0">
      <selection activeCell="M28" sqref="M27:M28"/>
    </sheetView>
  </sheetViews>
  <sheetFormatPr defaultRowHeight="15" x14ac:dyDescent="0.25"/>
  <cols>
    <col min="4" max="4" width="11" bestFit="1" customWidth="1"/>
  </cols>
  <sheetData>
    <row r="3" spans="1:8" ht="18.75" x14ac:dyDescent="0.35">
      <c r="C3" s="13" t="s">
        <v>96</v>
      </c>
    </row>
    <row r="4" spans="1:8" ht="17.25" x14ac:dyDescent="0.25">
      <c r="C4" t="s">
        <v>68</v>
      </c>
      <c r="D4" s="3">
        <v>0.8</v>
      </c>
      <c r="E4" s="71" t="s">
        <v>95</v>
      </c>
    </row>
    <row r="5" spans="1:8" x14ac:dyDescent="0.25">
      <c r="C5" t="s">
        <v>69</v>
      </c>
      <c r="D5" s="3">
        <f>(10*7)+(12*7)-7+(4*7)+7</f>
        <v>182</v>
      </c>
      <c r="E5" t="s">
        <v>70</v>
      </c>
      <c r="F5" t="s">
        <v>129</v>
      </c>
    </row>
    <row r="6" spans="1:8" x14ac:dyDescent="0.25">
      <c r="C6" t="s">
        <v>63</v>
      </c>
      <c r="D6" s="3">
        <v>303</v>
      </c>
      <c r="E6" t="s">
        <v>64</v>
      </c>
      <c r="F6" t="s">
        <v>90</v>
      </c>
    </row>
    <row r="7" spans="1:8" ht="18" x14ac:dyDescent="0.35">
      <c r="B7" t="s">
        <v>71</v>
      </c>
      <c r="C7" s="65" t="s">
        <v>65</v>
      </c>
      <c r="D7" s="3">
        <v>2.6</v>
      </c>
      <c r="E7" t="s">
        <v>6</v>
      </c>
      <c r="F7" t="s">
        <v>92</v>
      </c>
    </row>
    <row r="8" spans="1:8" ht="18" x14ac:dyDescent="0.35">
      <c r="B8" t="s">
        <v>78</v>
      </c>
      <c r="C8" t="s">
        <v>94</v>
      </c>
      <c r="D8" s="3">
        <v>18</v>
      </c>
      <c r="E8" t="s">
        <v>67</v>
      </c>
      <c r="F8" t="s">
        <v>93</v>
      </c>
    </row>
    <row r="9" spans="1:8" x14ac:dyDescent="0.25">
      <c r="C9" t="s">
        <v>75</v>
      </c>
      <c r="D9" s="3">
        <v>995</v>
      </c>
      <c r="E9" t="s">
        <v>77</v>
      </c>
      <c r="F9" t="s">
        <v>91</v>
      </c>
    </row>
    <row r="10" spans="1:8" x14ac:dyDescent="0.25">
      <c r="C10" t="s">
        <v>76</v>
      </c>
      <c r="D10" s="3">
        <v>0.5</v>
      </c>
      <c r="F10" t="s">
        <v>83</v>
      </c>
    </row>
    <row r="11" spans="1:8" ht="18" x14ac:dyDescent="0.35">
      <c r="B11" t="s">
        <v>72</v>
      </c>
      <c r="C11" s="65" t="s">
        <v>65</v>
      </c>
      <c r="D11" s="3">
        <v>1.37</v>
      </c>
      <c r="E11" t="s">
        <v>6</v>
      </c>
      <c r="F11" t="s">
        <v>92</v>
      </c>
    </row>
    <row r="12" spans="1:8" ht="18" x14ac:dyDescent="0.35">
      <c r="B12" t="s">
        <v>79</v>
      </c>
      <c r="C12" t="s">
        <v>94</v>
      </c>
      <c r="D12" s="3">
        <v>41.05</v>
      </c>
      <c r="E12" t="s">
        <v>67</v>
      </c>
      <c r="F12" t="s">
        <v>93</v>
      </c>
    </row>
    <row r="13" spans="1:8" x14ac:dyDescent="0.25">
      <c r="C13" t="s">
        <v>75</v>
      </c>
      <c r="D13" s="3">
        <v>786</v>
      </c>
      <c r="E13" t="s">
        <v>77</v>
      </c>
      <c r="F13" t="s">
        <v>82</v>
      </c>
    </row>
    <row r="14" spans="1:8" x14ac:dyDescent="0.25">
      <c r="C14" t="s">
        <v>76</v>
      </c>
      <c r="D14">
        <f>1-D10</f>
        <v>0.5</v>
      </c>
      <c r="F14" t="s">
        <v>84</v>
      </c>
    </row>
    <row r="15" spans="1:8" ht="15.75" x14ac:dyDescent="0.25">
      <c r="A15" t="s">
        <v>73</v>
      </c>
      <c r="D15">
        <f>((D9*D10)/D8)/((D14*D13)/D12+(D9*D10)/D8)</f>
        <v>0.74272972346354749</v>
      </c>
      <c r="E15" t="s">
        <v>6</v>
      </c>
    </row>
    <row r="16" spans="1:8" ht="15.75" x14ac:dyDescent="0.25">
      <c r="A16" t="s">
        <v>80</v>
      </c>
      <c r="D16">
        <f>((D14*D13)/D12)/((D14*D13)/D12+(D9*D10)/D8)</f>
        <v>0.25727027653645251</v>
      </c>
      <c r="E16" t="s">
        <v>6</v>
      </c>
      <c r="G16" s="64">
        <f>D16+D15</f>
        <v>1</v>
      </c>
      <c r="H16" s="66" t="s">
        <v>81</v>
      </c>
    </row>
    <row r="17" spans="1:6" x14ac:dyDescent="0.25">
      <c r="B17" t="s">
        <v>74</v>
      </c>
      <c r="C17" s="65" t="s">
        <v>127</v>
      </c>
      <c r="D17">
        <f>(D15*D7*D8+D16*D11*D12)</f>
        <v>49.228245505089312</v>
      </c>
      <c r="E17" t="s">
        <v>6</v>
      </c>
      <c r="F17" t="s">
        <v>97</v>
      </c>
    </row>
    <row r="19" spans="1:6" ht="20.25" x14ac:dyDescent="0.35">
      <c r="B19" s="42" t="s">
        <v>130</v>
      </c>
      <c r="D19" s="46">
        <f>7.4*10^(-8)*D6*D17^0.5/(D4*D5^0.6)*10^-4</f>
        <v>8.6626089011617793E-10</v>
      </c>
      <c r="E19" t="s">
        <v>7</v>
      </c>
      <c r="F19" s="6" t="s">
        <v>128</v>
      </c>
    </row>
    <row r="22" spans="1:6" x14ac:dyDescent="0.25">
      <c r="A22" s="19"/>
      <c r="B22" s="19"/>
    </row>
    <row r="23" spans="1:6" x14ac:dyDescent="0.25">
      <c r="A23" s="19"/>
      <c r="B23" s="19"/>
    </row>
    <row r="24" spans="1:6" x14ac:dyDescent="0.25">
      <c r="A24" s="19"/>
      <c r="B24" s="19"/>
    </row>
    <row r="25" spans="1:6" x14ac:dyDescent="0.25">
      <c r="A25" s="19"/>
      <c r="B25" s="19"/>
    </row>
    <row r="26" spans="1:6" x14ac:dyDescent="0.25">
      <c r="A26" s="19"/>
      <c r="B26" s="19"/>
    </row>
    <row r="27" spans="1:6" x14ac:dyDescent="0.25">
      <c r="A27" s="19"/>
      <c r="B27" s="19"/>
    </row>
    <row r="28" spans="1:6" x14ac:dyDescent="0.25">
      <c r="A28" s="19"/>
      <c r="B28" s="19"/>
    </row>
    <row r="29" spans="1:6" x14ac:dyDescent="0.25">
      <c r="A29" s="19"/>
      <c r="B29" s="19"/>
    </row>
    <row r="30" spans="1:6" x14ac:dyDescent="0.25">
      <c r="A30" s="19"/>
      <c r="B30" s="19"/>
    </row>
    <row r="31" spans="1:6" x14ac:dyDescent="0.25">
      <c r="A31" s="19"/>
      <c r="B31" s="19"/>
    </row>
    <row r="32" spans="1:6" x14ac:dyDescent="0.25">
      <c r="A32" s="19"/>
      <c r="B32" s="1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Main Sheet (t0,N or H,u0-data)</vt:lpstr>
      <vt:lpstr>Deff via Peak Parking</vt:lpstr>
      <vt:lpstr>Deff via experiments at low F</vt:lpstr>
      <vt:lpstr>Dmol via Wilke Chang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CyanZ</cp:lastModifiedBy>
  <dcterms:created xsi:type="dcterms:W3CDTF">2015-03-18T16:57:49Z</dcterms:created>
  <dcterms:modified xsi:type="dcterms:W3CDTF">2018-02-19T12:42:25Z</dcterms:modified>
</cp:coreProperties>
</file>